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20" yWindow="45" windowWidth="7980" windowHeight="5715" tabRatio="774" activeTab="1"/>
  </bookViews>
  <sheets>
    <sheet name="Anlagendaten" sheetId="1" r:id="rId1"/>
    <sheet name="Vollstaendiger Finanzplan" sheetId="2" r:id="rId2"/>
    <sheet name="Einstrahlung" sheetId="3" state="veryHidden" r:id="rId3"/>
    <sheet name=" Kapitalwert" sheetId="4" state="veryHidden" r:id="rId4"/>
    <sheet name="Sensitivität" sheetId="5" r:id="rId5"/>
  </sheets>
  <externalReferences>
    <externalReference r:id="rId8"/>
    <externalReference r:id="rId9"/>
  </externalReferences>
  <definedNames>
    <definedName name="C">'[1]Zahlen Super'!$F$2</definedName>
    <definedName name="dwe" localSheetId="1" hidden="1">{"'Verkehr-Personen'!$A$5:$J$26"}</definedName>
    <definedName name="dwe" hidden="1">{"'Verkehr-Personen'!$A$5:$J$26"}</definedName>
    <definedName name="ed" localSheetId="1" hidden="1">{"'Verkehr-Personen'!$A$5:$J$26"}</definedName>
    <definedName name="ed" hidden="1">{"'Verkehr-Personen'!$A$5:$J$26"}</definedName>
    <definedName name="eff">'[2]costs - data'!$B$18</definedName>
    <definedName name="hg" localSheetId="1" hidden="1">{"'Verkehr-Personen'!$A$5:$J$26"}</definedName>
    <definedName name="hg" hidden="1">{"'Verkehr-Personen'!$A$5:$J$26"}</definedName>
    <definedName name="hl" localSheetId="1" hidden="1">{"'Verkehr-Personen'!$A$5:$J$26"}</definedName>
    <definedName name="hl" hidden="1">{"'Verkehr-Personen'!$A$5:$J$26"}</definedName>
    <definedName name="ht" localSheetId="1" hidden="1">{"'Verkehr-Personen'!$A$5:$J$26"}</definedName>
    <definedName name="ht" hidden="1">{"'Verkehr-Personen'!$A$5:$J$26"}</definedName>
    <definedName name="HTML_CodePage" hidden="1">1252</definedName>
    <definedName name="HTML_Control" localSheetId="1" hidden="1">{"'Verkehr-Personen'!$A$5:$J$26"}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iiiii" localSheetId="1" hidden="1">{"'Verkehr-Personen'!$A$5:$J$26"}</definedName>
    <definedName name="iiiii" hidden="1">{"'Verkehr-Personen'!$A$5:$J$26"}</definedName>
    <definedName name="kjkjkj" localSheetId="1" hidden="1">{"'Verkehr-Personen'!$A$5:$J$26"}</definedName>
    <definedName name="kjkjkj" hidden="1">{"'Verkehr-Personen'!$A$5:$J$26"}</definedName>
    <definedName name="kk" localSheetId="1" hidden="1">{"'Verkehr-Personen'!$A$5:$J$26"}</definedName>
    <definedName name="kk" hidden="1">{"'Verkehr-Personen'!$A$5:$J$26"}</definedName>
    <definedName name="mo" localSheetId="1" hidden="1">{"'Verkehr-Personen'!$A$5:$J$26"}</definedName>
    <definedName name="mo" hidden="1">{"'Verkehr-Personen'!$A$5:$J$26"}</definedName>
    <definedName name="motorraf" localSheetId="1" hidden="1">{"'Verkehr-Personen'!$A$5:$J$26"}</definedName>
    <definedName name="motorraf" hidden="1">{"'Verkehr-Personen'!$A$5:$J$26"}</definedName>
    <definedName name="pundelelal" localSheetId="1" hidden="1">{"'Verkehr-Personen'!$A$5:$J$26"}</definedName>
    <definedName name="pundelelal" hidden="1">{"'Verkehr-Personen'!$A$5:$J$26"}</definedName>
    <definedName name="r" localSheetId="1" hidden="1">{"'Verkehr-Personen'!$A$5:$J$26"}</definedName>
    <definedName name="r" hidden="1">{"'Verkehr-Personen'!$A$5:$J$26"}</definedName>
    <definedName name="t" localSheetId="1" hidden="1">{"'Verkehr-Personen'!$A$5:$J$26"}</definedName>
    <definedName name="t" hidden="1">{"'Verkehr-Personen'!$A$5:$J$26"}</definedName>
    <definedName name="v" localSheetId="1" hidden="1">{"'Verkehr-Personen'!$A$5:$J$26"}</definedName>
    <definedName name="v" hidden="1">{"'Verkehr-Personen'!$A$5:$J$26"}</definedName>
    <definedName name="Verkehr2" localSheetId="1" hidden="1">{"'Verkehr-Personen'!$A$5:$J$26"}</definedName>
    <definedName name="Verkehr2" hidden="1">{"'Verkehr-Personen'!$A$5:$J$26"}</definedName>
    <definedName name="VerkehrPkwKlassen" localSheetId="1" hidden="1">{"'Verkehr-Personen'!$A$5:$J$26"}</definedName>
    <definedName name="VerkehrPkwKlassen" hidden="1">{"'Verkehr-Personen'!$A$5:$J$26"}</definedName>
    <definedName name="vg" localSheetId="1" hidden="1">{"'Verkehr-Personen'!$A$5:$J$26"}</definedName>
    <definedName name="vg" hidden="1">{"'Verkehr-Personen'!$A$5:$J$26"}</definedName>
  </definedNames>
  <calcPr fullCalcOnLoad="1"/>
</workbook>
</file>

<file path=xl/comments4.xml><?xml version="1.0" encoding="utf-8"?>
<comments xmlns="http://schemas.openxmlformats.org/spreadsheetml/2006/main">
  <authors>
    <author>merob</author>
  </authors>
  <commentList>
    <comment ref="E44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persönlicher Grenzsteuersatz (bezogen auf den letzten ohne PV-Anlage verdienten EURO)</t>
        </r>
      </text>
    </comment>
    <comment ref="E46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Kalkulationszinssatz (enthält Risiko und Alternativanlage) eintragen </t>
        </r>
      </text>
    </comment>
    <comment ref="E45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Abgeltungssteuer für Kapitalanlagen (ab 2009)</t>
        </r>
      </text>
    </comment>
    <comment ref="E43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an dieser Stelle mit NPV und internem Zinsfuss nicht zu berechnen</t>
        </r>
      </text>
    </comment>
    <comment ref="E42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prognostizierte Inflation auf Auszahlungen (2% entspricht den letzten 20 Jahren)</t>
        </r>
      </text>
    </comment>
    <comment ref="E40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lineare Alterung der Module bezogen auf Anfangsertrag</t>
        </r>
      </text>
    </comment>
    <comment ref="E38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Standardeintsellung linear (degressiv lohnt nur bei sinkendem oder gleichbleibenden Einkommen aufgrund des Zinseffektes bei Steuern)</t>
        </r>
      </text>
    </comment>
    <comment ref="E37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Versicherung+Wartung sollte ca. 1,0-1,5% der AK betragen, Rückstellungen für Wartung als Auszahlungen, Inflation berücksichtigt</t>
        </r>
      </text>
    </comment>
    <comment ref="E35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SW Jena, ich würde bei kleiner selbst ablesen und Rechnung stellen</t>
        </r>
      </text>
    </comment>
    <comment ref="E33" authorId="0">
      <text>
        <r>
          <rPr>
            <b/>
            <sz val="8"/>
            <rFont val="Tahoma"/>
            <family val="0"/>
          </rPr>
          <t xml:space="preserve">merob:
</t>
        </r>
        <r>
          <rPr>
            <sz val="8"/>
            <rFont val="Tahoma"/>
            <family val="2"/>
          </rPr>
          <t>850 als vorsichtige Schätzgröße, Daten aus Angebot einsetzten, zusätzlich Sensitivität prüfen</t>
        </r>
      </text>
    </comment>
    <comment ref="E30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Gesamte AK auf Nettobasis incl. Anschluß und Montage</t>
        </r>
      </text>
    </comment>
    <comment ref="E29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Erträge im Inbetriebnahmejahr nur monatsweise berechnet, also zum 1.1., 1.2. usw</t>
        </r>
      </text>
    </comment>
    <comment ref="E31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angegebene Nennleistung der Module</t>
        </r>
      </text>
    </comment>
    <comment ref="E57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der reale Zinssatz berücksichtigt die Inflation in den Zinseszinsen, ist aber kaum vergleichbar mit anderen Anlagerenditen</t>
        </r>
      </text>
    </comment>
    <comment ref="E54" authorId="0">
      <text>
        <r>
          <rPr>
            <b/>
            <sz val="8"/>
            <rFont val="Tahoma"/>
            <family val="0"/>
          </rPr>
          <t>merob:</t>
        </r>
        <r>
          <rPr>
            <sz val="8"/>
            <rFont val="Tahoma"/>
            <family val="0"/>
          </rPr>
          <t xml:space="preserve">
ExcelMakro, wenn Wert#, bitte Doppelklick für Funktionsaufruf</t>
        </r>
      </text>
    </comment>
  </commentList>
</comments>
</file>

<file path=xl/sharedStrings.xml><?xml version="1.0" encoding="utf-8"?>
<sst xmlns="http://schemas.openxmlformats.org/spreadsheetml/2006/main" count="268" uniqueCount="197">
  <si>
    <t>Jahr</t>
  </si>
  <si>
    <t>Summe</t>
  </si>
  <si>
    <t>Inflation</t>
  </si>
  <si>
    <t>Periode</t>
  </si>
  <si>
    <t>Erträge [kWh/a]</t>
  </si>
  <si>
    <t>Einzahlungen [€/a]</t>
  </si>
  <si>
    <t>Anschaffungskosten</t>
  </si>
  <si>
    <t>Kosten Zähler [€/a]</t>
  </si>
  <si>
    <t xml:space="preserve">Versicherung </t>
  </si>
  <si>
    <t>Wartung</t>
  </si>
  <si>
    <t>Auszahlungen [€/a]</t>
  </si>
  <si>
    <t>Kalkulationszinssatz</t>
  </si>
  <si>
    <t>Ertrag [kWh/kwp]</t>
  </si>
  <si>
    <t>Tage</t>
  </si>
  <si>
    <t>Nennleistung [kWp]</t>
  </si>
  <si>
    <t>Mindestvergütung [€/kWh]</t>
  </si>
  <si>
    <t>Laufzeit</t>
  </si>
  <si>
    <t>Auszahlung</t>
  </si>
  <si>
    <t>Steuern [€/a]</t>
  </si>
  <si>
    <t>Afa Linear [€]</t>
  </si>
  <si>
    <t>Afa degressiv [€]</t>
  </si>
  <si>
    <t>Tilgung [€]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</si>
  <si>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</si>
  <si>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</si>
  <si>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</si>
  <si>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</si>
  <si>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</si>
  <si>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</si>
  <si>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</si>
  <si>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</si>
  <si>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</si>
  <si>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</si>
  <si>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</si>
  <si>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</si>
  <si>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</si>
  <si>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Parameter</t>
  </si>
  <si>
    <t>Zählerkosten
[€/a]</t>
  </si>
  <si>
    <t>Betriebs-kosten 
[€/a]</t>
  </si>
  <si>
    <t>Versicherung [€/a]</t>
  </si>
  <si>
    <t>Wartung&amp;Instandhaltung [€/a]</t>
  </si>
  <si>
    <t>Ø Gestehungs-kosten [€/kWh]</t>
  </si>
  <si>
    <t>Finanzierung</t>
  </si>
  <si>
    <t>Mittelwert</t>
  </si>
  <si>
    <t>Betrieb, Zinsen, Afa</t>
  </si>
  <si>
    <t>Steuerliches Perioden-ergebnis [€]</t>
  </si>
  <si>
    <t>interner Zinsfuss</t>
  </si>
  <si>
    <t>Ø Gestehungskosten [€/kWh]</t>
  </si>
  <si>
    <t>[€/kWp]</t>
  </si>
  <si>
    <t>Investitionszeitraum [a]</t>
  </si>
  <si>
    <t>20 Jahre+ Inbetriebnahmejahr</t>
  </si>
  <si>
    <t>Abschreibung degressiv</t>
  </si>
  <si>
    <t>Abschreibung linear</t>
  </si>
  <si>
    <t>Restbuchwert degressiv [€]</t>
  </si>
  <si>
    <t>Kapitalwert [i= 4%]</t>
  </si>
  <si>
    <t>Betriebskosten [%v.AK]</t>
  </si>
  <si>
    <t>Annuität [€]</t>
  </si>
  <si>
    <t>Perioden-Cashflows [€]</t>
  </si>
  <si>
    <t>Sollzinsen [€]</t>
  </si>
  <si>
    <t>Kredit incl. Disagio</t>
  </si>
  <si>
    <t>Sollzinssatz</t>
  </si>
  <si>
    <t>Tilgungsfreiheit</t>
  </si>
  <si>
    <t>Kredit Bestandsgröße</t>
  </si>
  <si>
    <t>Bestandssaldo [€]</t>
  </si>
  <si>
    <t>Soll-zinsen [€]</t>
  </si>
  <si>
    <t>Guthaben excl Entnahmen [€]</t>
  </si>
  <si>
    <t>Opportunität [€]</t>
  </si>
  <si>
    <t>Δ Endwert [€]</t>
  </si>
  <si>
    <t>PV-Konto[€]</t>
  </si>
  <si>
    <t>PV-Konto zinsen [€]</t>
  </si>
  <si>
    <t>Guthaben zinsen[€]</t>
  </si>
  <si>
    <t>cashflows</t>
  </si>
  <si>
    <t>Alterung [% p.a.]</t>
  </si>
  <si>
    <t>Investitionssteuersatz</t>
  </si>
  <si>
    <t>Opportunitätssteuersatz</t>
  </si>
  <si>
    <t>diskontierter Barwert [€]</t>
  </si>
  <si>
    <t>realer Zinssatz</t>
  </si>
  <si>
    <t>dynamische Annuität [€]</t>
  </si>
  <si>
    <r>
      <t>Final Yield [kwh/kw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]</t>
    </r>
  </si>
  <si>
    <t>Mittelwert/Summe</t>
  </si>
  <si>
    <t>kumulierte Barwerte[€]</t>
  </si>
  <si>
    <t>kumulierte cashflows [€]</t>
  </si>
  <si>
    <t>Zinsen Gesamt</t>
  </si>
  <si>
    <t>operativer Cashflow [€]</t>
  </si>
  <si>
    <t>horizontale Einstrahlung Jena/Erfurt [kWh/m²]</t>
  </si>
  <si>
    <t>Netzeinspeisung Kumuliert rückwärts [%]</t>
  </si>
  <si>
    <t>Netzeinspeisung Kumuliert vorwärts [%]</t>
  </si>
  <si>
    <t>Netzeinspeisung Tag [kWh/kWp/d]</t>
  </si>
  <si>
    <t>Netzeinspeisung Monat und kWp [kWh/Monat/kWp]</t>
  </si>
  <si>
    <t>Inbetriebnahmedatum</t>
  </si>
  <si>
    <t>Kosten je kWp [€/kWp]</t>
  </si>
  <si>
    <t>Kapitalwert (Net Present Value)</t>
  </si>
  <si>
    <t>Auswertung</t>
  </si>
  <si>
    <t>Anschaffungskosten (Netto) [€]</t>
  </si>
  <si>
    <t>interner Zinsfuss nach Steuern</t>
  </si>
  <si>
    <t>interner Zinsfuss vor Steuern</t>
  </si>
  <si>
    <t>Robert Meyer</t>
  </si>
  <si>
    <t/>
  </si>
  <si>
    <t>Betriebskosten</t>
  </si>
  <si>
    <t>Mindestvergütung</t>
  </si>
  <si>
    <t>PV-Wirtschaftlichkeitsanlyse</t>
  </si>
  <si>
    <t>Netzgekoppelter Photovoltaikanlagen</t>
  </si>
  <si>
    <t>Autor</t>
  </si>
  <si>
    <t>Th.-Müntzer-Weg 16</t>
  </si>
  <si>
    <t>07743 Jena</t>
  </si>
  <si>
    <t xml:space="preserve"> Tel.    + 49 3641 510656</t>
  </si>
  <si>
    <t xml:space="preserve"> Mobil  + 49 179 1448134</t>
  </si>
  <si>
    <t>Zahl</t>
  </si>
  <si>
    <t>1.</t>
  </si>
  <si>
    <t>Wartung &amp; Instandhaltung</t>
  </si>
  <si>
    <t>[€/a]</t>
  </si>
  <si>
    <t xml:space="preserve">Zählerkosten </t>
  </si>
  <si>
    <t>[€]</t>
  </si>
  <si>
    <t>Anschaffungskosten (netto)</t>
  </si>
  <si>
    <t>Anlagengröße</t>
  </si>
  <si>
    <t>[kWp]</t>
  </si>
  <si>
    <t>enstrahlung</t>
  </si>
  <si>
    <t>Anschaffungskosten je kWp</t>
  </si>
  <si>
    <t>Disagio</t>
  </si>
  <si>
    <t>Anteil Fremdfinanzierung</t>
  </si>
  <si>
    <t>Nominalzins</t>
  </si>
  <si>
    <t>Tilgungsfreie Zeit</t>
  </si>
  <si>
    <t>Gesamtlaufzeit</t>
  </si>
  <si>
    <t>Sollzinsen</t>
  </si>
  <si>
    <t>Habenzinsen</t>
  </si>
  <si>
    <t>[% p.a.]</t>
  </si>
  <si>
    <t>Fläche</t>
  </si>
  <si>
    <t>Modulart</t>
  </si>
  <si>
    <t>[m²]</t>
  </si>
  <si>
    <t>monokristallin</t>
  </si>
  <si>
    <t>polykristallin</t>
  </si>
  <si>
    <t>Si-amorph</t>
  </si>
  <si>
    <t>Cd-Te</t>
  </si>
  <si>
    <t>CIS</t>
  </si>
  <si>
    <t>[Ct./kWh]</t>
  </si>
  <si>
    <t>[kWh/kWp]</t>
  </si>
  <si>
    <t>Einspeisung je kWp</t>
  </si>
  <si>
    <t>Steuersatz auf Kapitalerträge</t>
  </si>
  <si>
    <t>40</t>
  </si>
  <si>
    <t>voraussichtliche Nutzungsdauer</t>
  </si>
  <si>
    <t>Jahre</t>
  </si>
  <si>
    <t>Vergütung nach EEG-Fristablauf</t>
  </si>
  <si>
    <t>20,00</t>
  </si>
  <si>
    <t>[%]</t>
  </si>
  <si>
    <t>Tilgungsrate bzw. Anuität</t>
  </si>
  <si>
    <t>0</t>
  </si>
  <si>
    <t>5</t>
  </si>
  <si>
    <t>10</t>
  </si>
  <si>
    <t>[€ je Monat] oder</t>
  </si>
  <si>
    <t>oder</t>
  </si>
  <si>
    <t xml:space="preserve">sonstige regelm. Leistungen </t>
  </si>
  <si>
    <t>Zahl 0,1</t>
  </si>
  <si>
    <t>Zahl 0,01</t>
  </si>
  <si>
    <t>Zahl 1</t>
  </si>
  <si>
    <t>Abschreibung</t>
  </si>
  <si>
    <t>1,9</t>
  </si>
  <si>
    <t>35</t>
  </si>
  <si>
    <t>25</t>
  </si>
  <si>
    <t>Steuern</t>
  </si>
  <si>
    <t>Grenzsteuersatz</t>
  </si>
  <si>
    <t>Prozent der Anschaffungskosten</t>
  </si>
  <si>
    <t>Alterung der Anlage [linear]</t>
  </si>
  <si>
    <t>50</t>
  </si>
  <si>
    <t>Kreditrahmen</t>
  </si>
  <si>
    <t>Anlagendaten</t>
  </si>
  <si>
    <t>Vergütungszahlung</t>
  </si>
  <si>
    <t>Laufbeginn Kredit</t>
  </si>
  <si>
    <t>Startdatum</t>
  </si>
  <si>
    <t>Enddatum</t>
  </si>
  <si>
    <t>Inflationsrate</t>
  </si>
  <si>
    <t>Wartung &amp; Instandhaltung [€/m]</t>
  </si>
  <si>
    <t>Erträge [kWh]</t>
  </si>
  <si>
    <t>Vergütung [€]</t>
  </si>
  <si>
    <t>Netzeinspeisung Monat [%]</t>
  </si>
  <si>
    <t>Verteilung der Einspeisung</t>
  </si>
  <si>
    <t>Zahlungsweise</t>
  </si>
  <si>
    <t>Sonstige Kosten 
[€]</t>
  </si>
  <si>
    <t>Zähler
[€/a]</t>
  </si>
  <si>
    <t>0,8</t>
  </si>
  <si>
    <t>49,21</t>
  </si>
  <si>
    <t>4000</t>
  </si>
  <si>
    <t>2007</t>
  </si>
  <si>
    <t>0,75</t>
  </si>
  <si>
    <t>144</t>
  </si>
  <si>
    <t>Datum</t>
  </si>
  <si>
    <t>Abschreibung ende</t>
  </si>
  <si>
    <t>MonateBerechnung</t>
  </si>
  <si>
    <t>Monate Abschreibung</t>
  </si>
  <si>
    <t>22</t>
  </si>
  <si>
    <t>Restbuchwert [€]</t>
  </si>
  <si>
    <t>Afa  [€]</t>
  </si>
  <si>
    <t>27</t>
  </si>
  <si>
    <t>Anschaffung [€]</t>
  </si>
  <si>
    <t>96</t>
  </si>
  <si>
    <t>3</t>
  </si>
  <si>
    <t>950</t>
  </si>
  <si>
    <t>20000</t>
  </si>
  <si>
    <t>wwww.solusus.de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</si>
</sst>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"/>
    <numFmt numFmtId="166" formatCode="0.0%"/>
    <numFmt numFmtId="167" formatCode="#,##0.0"/>
    <numFmt numFmtId="168" formatCode="0.00000%"/>
    <numFmt numFmtId="169" formatCode="#,##0.0000"/>
    <numFmt numFmtId="170" formatCode="#,##0.0000_ ;[Red]\-#,##0.0000\ "/>
    <numFmt numFmtId="171" formatCode="#,##0.00\ &quot;€&quot;"/>
    <numFmt numFmtId="172" formatCode="#,##0_);[Black]\(#,##0_)"/>
    <numFmt numFmtId="173" formatCode="#,##0_);[Black]#,##0_)"/>
    <numFmt numFmtId="174" formatCode="##0_);[Black]##0_)"/>
    <numFmt numFmtId="175" formatCode="#,##0.00_);[Red]\(#,##0.00_)"/>
    <numFmt numFmtId="176" formatCode="[$-407]dddd\,\ d\.\ mmmm\ 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.5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8"/>
      <name val="Arial"/>
      <family val="2"/>
    </font>
    <font>
      <sz val="10.25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8.75"/>
      <name val="Arial"/>
      <family val="0"/>
    </font>
    <font>
      <b/>
      <sz val="10.5"/>
      <name val="Arial"/>
      <family val="2"/>
    </font>
    <font>
      <sz val="9.5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9" fontId="0" fillId="0" borderId="7" xfId="0" applyNumberFormat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9" fontId="0" fillId="0" borderId="2" xfId="19" applyBorder="1" applyAlignment="1">
      <alignment/>
    </xf>
    <xf numFmtId="3" fontId="0" fillId="0" borderId="15" xfId="0" applyNumberFormat="1" applyBorder="1" applyAlignment="1">
      <alignment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/>
    </xf>
    <xf numFmtId="170" fontId="0" fillId="3" borderId="15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2" xfId="0" applyNumberFormat="1" applyFill="1" applyBorder="1" applyAlignment="1">
      <alignment/>
    </xf>
    <xf numFmtId="10" fontId="0" fillId="3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0" fontId="0" fillId="3" borderId="6" xfId="0" applyNumberFormat="1" applyFill="1" applyBorder="1" applyAlignment="1">
      <alignment/>
    </xf>
    <xf numFmtId="14" fontId="0" fillId="0" borderId="9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10" fontId="0" fillId="0" borderId="7" xfId="19" applyNumberFormat="1" applyBorder="1" applyAlignment="1">
      <alignment/>
    </xf>
    <xf numFmtId="0" fontId="0" fillId="0" borderId="1" xfId="0" applyBorder="1" applyAlignment="1">
      <alignment vertical="center"/>
    </xf>
    <xf numFmtId="170" fontId="0" fillId="0" borderId="1" xfId="0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5" xfId="19" applyNumberFormat="1" applyBorder="1" applyAlignment="1">
      <alignment/>
    </xf>
    <xf numFmtId="0" fontId="0" fillId="0" borderId="7" xfId="0" applyBorder="1" applyAlignment="1">
      <alignment vertical="center"/>
    </xf>
    <xf numFmtId="0" fontId="0" fillId="2" borderId="9" xfId="0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0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14" fontId="0" fillId="2" borderId="15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0" fontId="0" fillId="2" borderId="2" xfId="19" applyNumberFormat="1" applyFill="1" applyBorder="1" applyAlignment="1">
      <alignment/>
    </xf>
    <xf numFmtId="10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/>
    </xf>
    <xf numFmtId="9" fontId="0" fillId="2" borderId="2" xfId="19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right"/>
    </xf>
    <xf numFmtId="10" fontId="0" fillId="2" borderId="2" xfId="19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9" fontId="0" fillId="2" borderId="18" xfId="19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10" fontId="0" fillId="2" borderId="23" xfId="19" applyNumberForma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9" fontId="0" fillId="2" borderId="27" xfId="19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28" xfId="0" applyFill="1" applyBorder="1" applyAlignment="1">
      <alignment/>
    </xf>
    <xf numFmtId="9" fontId="0" fillId="3" borderId="29" xfId="0" applyNumberFormat="1" applyFill="1" applyBorder="1" applyAlignment="1">
      <alignment/>
    </xf>
    <xf numFmtId="9" fontId="0" fillId="3" borderId="30" xfId="0" applyNumberFormat="1" applyFill="1" applyBorder="1" applyAlignment="1">
      <alignment/>
    </xf>
    <xf numFmtId="9" fontId="0" fillId="3" borderId="31" xfId="0" applyNumberFormat="1" applyFill="1" applyBorder="1" applyAlignment="1">
      <alignment/>
    </xf>
    <xf numFmtId="0" fontId="0" fillId="2" borderId="32" xfId="0" applyFill="1" applyBorder="1" applyAlignment="1">
      <alignment/>
    </xf>
    <xf numFmtId="3" fontId="0" fillId="2" borderId="33" xfId="0" applyNumberFormat="1" applyFill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2" xfId="0" applyBorder="1" applyAlignment="1">
      <alignment/>
    </xf>
    <xf numFmtId="10" fontId="0" fillId="0" borderId="33" xfId="19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36" xfId="0" applyBorder="1" applyAlignment="1">
      <alignment vertical="center"/>
    </xf>
    <xf numFmtId="169" fontId="0" fillId="0" borderId="37" xfId="0" applyNumberFormat="1" applyBorder="1" applyAlignment="1">
      <alignment/>
    </xf>
    <xf numFmtId="169" fontId="0" fillId="0" borderId="38" xfId="0" applyNumberFormat="1" applyBorder="1" applyAlignment="1">
      <alignment/>
    </xf>
    <xf numFmtId="170" fontId="0" fillId="0" borderId="37" xfId="0" applyNumberFormat="1" applyBorder="1" applyAlignment="1">
      <alignment/>
    </xf>
    <xf numFmtId="169" fontId="0" fillId="0" borderId="39" xfId="0" applyNumberFormat="1" applyBorder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167" fontId="0" fillId="0" borderId="0" xfId="19" applyNumberFormat="1" applyAlignment="1">
      <alignment/>
    </xf>
    <xf numFmtId="167" fontId="0" fillId="0" borderId="0" xfId="19" applyNumberFormat="1" applyFont="1" applyAlignment="1">
      <alignment/>
    </xf>
    <xf numFmtId="3" fontId="0" fillId="0" borderId="0" xfId="19" applyNumberFormat="1" applyAlignment="1">
      <alignment/>
    </xf>
    <xf numFmtId="0" fontId="18" fillId="0" borderId="0" xfId="0" applyFont="1" applyFill="1" applyAlignment="1">
      <alignment/>
    </xf>
    <xf numFmtId="0" fontId="0" fillId="4" borderId="38" xfId="0" applyFill="1" applyBorder="1" applyAlignment="1">
      <alignment/>
    </xf>
    <xf numFmtId="0" fontId="18" fillId="4" borderId="38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3" borderId="8" xfId="0" applyFill="1" applyBorder="1" applyAlignment="1">
      <alignment/>
    </xf>
    <xf numFmtId="167" fontId="0" fillId="0" borderId="3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164" fontId="0" fillId="3" borderId="7" xfId="0" applyNumberFormat="1" applyFill="1" applyBorder="1" applyAlignment="1">
      <alignment/>
    </xf>
    <xf numFmtId="0" fontId="0" fillId="3" borderId="11" xfId="0" applyFill="1" applyBorder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4" xfId="0" applyFill="1" applyBorder="1" applyAlignment="1">
      <alignment horizontal="left"/>
    </xf>
    <xf numFmtId="0" fontId="0" fillId="5" borderId="45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6" xfId="0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5" borderId="41" xfId="0" applyFon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38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Zahlungsreihe Kapitalwert C</a:t>
            </a:r>
            <a:r>
              <a:rPr lang="en-US" cap="none" sz="85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 Szenario 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375"/>
          <c:w val="0.8442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tx>
            <c:v>kumulierte Barwerte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Kapitalwert'!$B$3:$B$24</c:f>
              <c:numCache>
                <c:ptCount val="22"/>
                <c:pt idx="0">
                  <c:v>2007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</c:numCache>
            </c:numRef>
          </c:cat>
          <c:val>
            <c:numRef>
              <c:f>' Kapitalwert'!$W$3:$W$24</c:f>
              <c:numCache>
                <c:ptCount val="22"/>
                <c:pt idx="0">
                  <c:v>-20000</c:v>
                </c:pt>
                <c:pt idx="1">
                  <c:v>-19131.90313876932</c:v>
                </c:pt>
                <c:pt idx="2">
                  <c:v>-17707.505889471257</c:v>
                </c:pt>
                <c:pt idx="3">
                  <c:v>-16351.202248260295</c:v>
                </c:pt>
                <c:pt idx="4">
                  <c:v>-15056.77339907069</c:v>
                </c:pt>
                <c:pt idx="5">
                  <c:v>-13821.58240980436</c:v>
                </c:pt>
                <c:pt idx="6">
                  <c:v>-12640.356779295675</c:v>
                </c:pt>
                <c:pt idx="7">
                  <c:v>-11516.30663562505</c:v>
                </c:pt>
                <c:pt idx="8">
                  <c:v>-10444.212156555925</c:v>
                </c:pt>
                <c:pt idx="9">
                  <c:v>-9421.845817614862</c:v>
                </c:pt>
                <c:pt idx="10">
                  <c:v>-8444.784118520794</c:v>
                </c:pt>
                <c:pt idx="11">
                  <c:v>-7515.678364557604</c:v>
                </c:pt>
                <c:pt idx="12">
                  <c:v>-6630.150972559784</c:v>
                </c:pt>
                <c:pt idx="13">
                  <c:v>-5786.321387655712</c:v>
                </c:pt>
                <c:pt idx="14">
                  <c:v>-4980.481645817799</c:v>
                </c:pt>
                <c:pt idx="15">
                  <c:v>-4214.817378849208</c:v>
                </c:pt>
                <c:pt idx="16">
                  <c:v>-3485.660672507084</c:v>
                </c:pt>
                <c:pt idx="17">
                  <c:v>-2791.4249111693516</c:v>
                </c:pt>
                <c:pt idx="18">
                  <c:v>-2129.0048237887518</c:v>
                </c:pt>
                <c:pt idx="19">
                  <c:v>-1500.198464778838</c:v>
                </c:pt>
                <c:pt idx="20">
                  <c:v>-901.9355198470961</c:v>
                </c:pt>
                <c:pt idx="21">
                  <c:v>-428.56323104329067</c:v>
                </c:pt>
              </c:numCache>
            </c:numRef>
          </c:val>
        </c:ser>
        <c:ser>
          <c:idx val="0"/>
          <c:order val="1"/>
          <c:tx>
            <c:v>Perioden Cashflows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Kapitalwert'!$U$3:$U$24</c:f>
              <c:numCache>
                <c:ptCount val="22"/>
                <c:pt idx="0">
                  <c:v>-20000</c:v>
                </c:pt>
                <c:pt idx="1">
                  <c:v>886.9481475631824</c:v>
                </c:pt>
                <c:pt idx="2">
                  <c:v>1510.0560921921763</c:v>
                </c:pt>
                <c:pt idx="3">
                  <c:v>1491.7875781706407</c:v>
                </c:pt>
                <c:pt idx="4">
                  <c:v>1477.1219364896697</c:v>
                </c:pt>
                <c:pt idx="5">
                  <c:v>1462.3804901750796</c:v>
                </c:pt>
                <c:pt idx="6">
                  <c:v>1451.0789425539813</c:v>
                </c:pt>
                <c:pt idx="7">
                  <c:v>1432.6231637439464</c:v>
                </c:pt>
                <c:pt idx="8">
                  <c:v>1417.6448624873185</c:v>
                </c:pt>
                <c:pt idx="9">
                  <c:v>1402.584503405558</c:v>
                </c:pt>
                <c:pt idx="10">
                  <c:v>1390.8375004687496</c:v>
                </c:pt>
                <c:pt idx="11">
                  <c:v>1372.169171021275</c:v>
                </c:pt>
                <c:pt idx="12">
                  <c:v>1356.8524186230704</c:v>
                </c:pt>
                <c:pt idx="13">
                  <c:v>1341.4468393769016</c:v>
                </c:pt>
                <c:pt idx="14">
                  <c:v>1329.227473330311</c:v>
                </c:pt>
                <c:pt idx="15">
                  <c:v>1310.3192215443328</c:v>
                </c:pt>
                <c:pt idx="16">
                  <c:v>1294.636098869466</c:v>
                </c:pt>
                <c:pt idx="17">
                  <c:v>1278.8568219411018</c:v>
                </c:pt>
                <c:pt idx="18">
                  <c:v>1266.1359653428403</c:v>
                </c:pt>
                <c:pt idx="19">
                  <c:v>1246.9581616013775</c:v>
                </c:pt>
                <c:pt idx="20">
                  <c:v>1230.878446440528</c:v>
                </c:pt>
                <c:pt idx="21">
                  <c:v>1010.4480698339964</c:v>
                </c:pt>
              </c:numCache>
            </c:numRef>
          </c:val>
        </c:ser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20"/>
        <c:tickLblSkip val="3"/>
        <c:noMultiLvlLbl val="0"/>
      </c:catAx>
      <c:valAx>
        <c:axId val="3431400"/>
        <c:scaling>
          <c:orientation val="minMax"/>
          <c:max val="2000"/>
          <c:min val="-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Betrag [€]</a:t>
                </a:r>
              </a:p>
            </c:rich>
          </c:tx>
          <c:layout>
            <c:manualLayout>
              <c:xMode val="factor"/>
              <c:yMode val="factor"/>
              <c:x val="0.0227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25"/>
          <c:y val="0.678"/>
          <c:w val="0.42075"/>
          <c:h val="0.158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Sensitivität Kapitalwert C</a:t>
            </a:r>
            <a:r>
              <a:rPr lang="en-US" cap="none" sz="1100" b="1" i="0" u="none" baseline="-25000">
                <a:latin typeface="Arial"/>
                <a:ea typeface="Arial"/>
                <a:cs typeface="Arial"/>
              </a:rPr>
              <a:t>0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65"/>
          <c:w val="0.9195"/>
          <c:h val="0.805"/>
        </c:manualLayout>
      </c:layout>
      <c:scatterChart>
        <c:scatterStyle val="smooth"/>
        <c:varyColors val="0"/>
        <c:ser>
          <c:idx val="0"/>
          <c:order val="0"/>
          <c:tx>
            <c:strRef>
              <c:f>Sensitivität!$B$3</c:f>
              <c:strCache>
                <c:ptCount val="1"/>
                <c:pt idx="0">
                  <c:v>Final Yield [kwh/kwp]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Betriebskosten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Anschaffungskosten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0882601"/>
        <c:axId val="9507954"/>
      </c:scatterChart>
      <c:valAx>
        <c:axId val="30882601"/>
        <c:scaling>
          <c:orientation val="minMax"/>
          <c:max val="1.3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Varianz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crossBetween val="midCat"/>
        <c:dispUnits/>
        <c:majorUnit val="0.1"/>
      </c:valAx>
      <c:valAx>
        <c:axId val="95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Kapitalwert 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A4A4A4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3075"/>
          <c:y val="0.5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Sensitivität interner Zinsfuss r</a:t>
            </a:r>
          </a:p>
        </c:rich>
      </c:tx>
      <c:layout>
        <c:manualLayout>
          <c:xMode val="factor"/>
          <c:yMode val="factor"/>
          <c:x val="0.019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5"/>
          <c:w val="0.90125"/>
          <c:h val="0.77975"/>
        </c:manualLayout>
      </c:layout>
      <c:scatterChart>
        <c:scatterStyle val="smooth"/>
        <c:varyColors val="0"/>
        <c:ser>
          <c:idx val="0"/>
          <c:order val="0"/>
          <c:tx>
            <c:strRef>
              <c:f>Sensitivität!$B$3</c:f>
              <c:strCache>
                <c:ptCount val="1"/>
                <c:pt idx="0">
                  <c:v>Final Yield [kwh/kwp]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Betriebskosten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Sensitivität!$C$17:$I$17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Anschaffungskosten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8462723"/>
        <c:axId val="31946780"/>
      </c:scatterChart>
      <c:valAx>
        <c:axId val="18462723"/>
        <c:scaling>
          <c:orientation val="minMax"/>
          <c:max val="1.3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Varianz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crossBetween val="midCat"/>
        <c:dispUnits/>
        <c:majorUnit val="0.1"/>
      </c:valAx>
      <c:valAx>
        <c:axId val="31946780"/>
        <c:scaling>
          <c:orientation val="minMax"/>
          <c:max val="0.1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Zinsfuss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9F9F9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225"/>
          <c:y val="0.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Sensitivität durchschnittliche Stromgestehungskosten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3725"/>
          <c:w val="0.86475"/>
          <c:h val="0.78475"/>
        </c:manualLayout>
      </c:layout>
      <c:scatterChart>
        <c:scatterStyle val="smooth"/>
        <c:varyColors val="0"/>
        <c:ser>
          <c:idx val="0"/>
          <c:order val="0"/>
          <c:tx>
            <c:strRef>
              <c:f>Sensitivität!$B$3</c:f>
              <c:strCache>
                <c:ptCount val="1"/>
                <c:pt idx="0">
                  <c:v>Final Yield [kwh/kwp]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Betriebskosten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Sensitivität!$C$19:$I$19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Anschaffungskosten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Sensitivität!$C$2:$I$2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Sensitivität!$C$13:$I$13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9085565"/>
        <c:axId val="37552358"/>
      </c:scatterChart>
      <c:valAx>
        <c:axId val="19085565"/>
        <c:scaling>
          <c:orientation val="minMax"/>
          <c:max val="1.3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crossBetween val="midCat"/>
        <c:dispUnits/>
        <c:majorUnit val="0.1"/>
      </c:valAx>
      <c:valAx>
        <c:axId val="37552358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Stromgestehungskosten [€/kWh]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3B3B3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97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16.emf" /><Relationship Id="rId4" Type="http://schemas.openxmlformats.org/officeDocument/2006/relationships/image" Target="../media/image43.emf" /><Relationship Id="rId5" Type="http://schemas.openxmlformats.org/officeDocument/2006/relationships/image" Target="../media/image32.emf" /><Relationship Id="rId6" Type="http://schemas.openxmlformats.org/officeDocument/2006/relationships/image" Target="../media/image25.emf" /><Relationship Id="rId7" Type="http://schemas.openxmlformats.org/officeDocument/2006/relationships/image" Target="../media/image30.emf" /><Relationship Id="rId8" Type="http://schemas.openxmlformats.org/officeDocument/2006/relationships/image" Target="../media/image21.emf" /><Relationship Id="rId9" Type="http://schemas.openxmlformats.org/officeDocument/2006/relationships/image" Target="../media/image24.emf" /><Relationship Id="rId10" Type="http://schemas.openxmlformats.org/officeDocument/2006/relationships/image" Target="../media/image20.emf" /><Relationship Id="rId11" Type="http://schemas.openxmlformats.org/officeDocument/2006/relationships/image" Target="../media/image5.emf" /><Relationship Id="rId12" Type="http://schemas.openxmlformats.org/officeDocument/2006/relationships/image" Target="../media/image26.emf" /><Relationship Id="rId13" Type="http://schemas.openxmlformats.org/officeDocument/2006/relationships/image" Target="../media/image9.emf" /><Relationship Id="rId14" Type="http://schemas.openxmlformats.org/officeDocument/2006/relationships/image" Target="../media/image35.emf" /><Relationship Id="rId15" Type="http://schemas.openxmlformats.org/officeDocument/2006/relationships/image" Target="../media/image15.emf" /><Relationship Id="rId16" Type="http://schemas.openxmlformats.org/officeDocument/2006/relationships/image" Target="../media/image14.emf" /><Relationship Id="rId17" Type="http://schemas.openxmlformats.org/officeDocument/2006/relationships/image" Target="../media/image42.emf" /><Relationship Id="rId18" Type="http://schemas.openxmlformats.org/officeDocument/2006/relationships/image" Target="../media/image8.emf" /><Relationship Id="rId19" Type="http://schemas.openxmlformats.org/officeDocument/2006/relationships/image" Target="../media/image6.emf" /><Relationship Id="rId20" Type="http://schemas.openxmlformats.org/officeDocument/2006/relationships/image" Target="../media/image1.emf" /><Relationship Id="rId21" Type="http://schemas.openxmlformats.org/officeDocument/2006/relationships/image" Target="../media/image33.emf" /><Relationship Id="rId22" Type="http://schemas.openxmlformats.org/officeDocument/2006/relationships/image" Target="../media/image37.emf" /><Relationship Id="rId23" Type="http://schemas.openxmlformats.org/officeDocument/2006/relationships/image" Target="../media/image36.emf" /><Relationship Id="rId24" Type="http://schemas.openxmlformats.org/officeDocument/2006/relationships/image" Target="../media/image34.emf" /><Relationship Id="rId25" Type="http://schemas.openxmlformats.org/officeDocument/2006/relationships/image" Target="../media/image41.emf" /><Relationship Id="rId26" Type="http://schemas.openxmlformats.org/officeDocument/2006/relationships/image" Target="../media/image38.emf" /><Relationship Id="rId27" Type="http://schemas.openxmlformats.org/officeDocument/2006/relationships/image" Target="../media/image40.emf" /><Relationship Id="rId28" Type="http://schemas.openxmlformats.org/officeDocument/2006/relationships/image" Target="../media/image29.emf" /><Relationship Id="rId29" Type="http://schemas.openxmlformats.org/officeDocument/2006/relationships/image" Target="../media/image27.emf" /><Relationship Id="rId30" Type="http://schemas.openxmlformats.org/officeDocument/2006/relationships/image" Target="../media/image19.emf" /><Relationship Id="rId31" Type="http://schemas.openxmlformats.org/officeDocument/2006/relationships/image" Target="../media/image13.emf" /><Relationship Id="rId32" Type="http://schemas.openxmlformats.org/officeDocument/2006/relationships/image" Target="../media/image23.emf" /><Relationship Id="rId33" Type="http://schemas.openxmlformats.org/officeDocument/2006/relationships/image" Target="../media/image18.emf" /><Relationship Id="rId34" Type="http://schemas.openxmlformats.org/officeDocument/2006/relationships/image" Target="../media/image12.emf" /><Relationship Id="rId35" Type="http://schemas.openxmlformats.org/officeDocument/2006/relationships/image" Target="../media/image28.emf" /><Relationship Id="rId36" Type="http://schemas.openxmlformats.org/officeDocument/2006/relationships/image" Target="../media/image31.emf" /><Relationship Id="rId37" Type="http://schemas.openxmlformats.org/officeDocument/2006/relationships/image" Target="../media/image39.emf" /><Relationship Id="rId38" Type="http://schemas.openxmlformats.org/officeDocument/2006/relationships/image" Target="../media/image22.emf" /><Relationship Id="rId39" Type="http://schemas.openxmlformats.org/officeDocument/2006/relationships/image" Target="../media/image2.emf" /><Relationship Id="rId40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40</xdr:row>
      <xdr:rowOff>142875</xdr:rowOff>
    </xdr:from>
    <xdr:to>
      <xdr:col>7</xdr:col>
      <xdr:colOff>752475</xdr:colOff>
      <xdr:row>42</xdr:row>
      <xdr:rowOff>28575</xdr:rowOff>
    </xdr:to>
    <xdr:pic>
      <xdr:nvPicPr>
        <xdr:cNvPr id="1" name="ComboBoxWartung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6657975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43</xdr:row>
      <xdr:rowOff>0</xdr:rowOff>
    </xdr:from>
    <xdr:to>
      <xdr:col>7</xdr:col>
      <xdr:colOff>733425</xdr:colOff>
      <xdr:row>44</xdr:row>
      <xdr:rowOff>66675</xdr:rowOff>
    </xdr:to>
    <xdr:pic>
      <xdr:nvPicPr>
        <xdr:cNvPr id="2" name="ComboBoxVersicherungProz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70008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142875</xdr:rowOff>
    </xdr:from>
    <xdr:to>
      <xdr:col>4</xdr:col>
      <xdr:colOff>876300</xdr:colOff>
      <xdr:row>21</xdr:row>
      <xdr:rowOff>28575</xdr:rowOff>
    </xdr:to>
    <xdr:pic>
      <xdr:nvPicPr>
        <xdr:cNvPr id="3" name="ComboBoxAnlagengroes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323850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0</xdr:rowOff>
    </xdr:from>
    <xdr:to>
      <xdr:col>4</xdr:col>
      <xdr:colOff>923925</xdr:colOff>
      <xdr:row>17</xdr:row>
      <xdr:rowOff>66675</xdr:rowOff>
    </xdr:to>
    <xdr:pic>
      <xdr:nvPicPr>
        <xdr:cNvPr id="4" name="ComboBoxMindestverguetu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6098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13</xdr:row>
      <xdr:rowOff>142875</xdr:rowOff>
    </xdr:from>
    <xdr:to>
      <xdr:col>4</xdr:col>
      <xdr:colOff>923925</xdr:colOff>
      <xdr:row>15</xdr:row>
      <xdr:rowOff>38100</xdr:rowOff>
    </xdr:to>
    <xdr:pic>
      <xdr:nvPicPr>
        <xdr:cNvPr id="5" name="ComboBoxMonatInbetriebnahm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390775" y="2266950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13</xdr:row>
      <xdr:rowOff>133350</xdr:rowOff>
    </xdr:from>
    <xdr:to>
      <xdr:col>6</xdr:col>
      <xdr:colOff>428625</xdr:colOff>
      <xdr:row>15</xdr:row>
      <xdr:rowOff>19050</xdr:rowOff>
    </xdr:to>
    <xdr:pic>
      <xdr:nvPicPr>
        <xdr:cNvPr id="6" name="ComboBoxJahrInbetriebnahm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305175" y="2257425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44</xdr:row>
      <xdr:rowOff>142875</xdr:rowOff>
    </xdr:from>
    <xdr:to>
      <xdr:col>4</xdr:col>
      <xdr:colOff>790575</xdr:colOff>
      <xdr:row>46</xdr:row>
      <xdr:rowOff>47625</xdr:rowOff>
    </xdr:to>
    <xdr:pic>
      <xdr:nvPicPr>
        <xdr:cNvPr id="7" name="TextBoxZeahlerkost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28900" y="73056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46</xdr:row>
      <xdr:rowOff>114300</xdr:rowOff>
    </xdr:from>
    <xdr:to>
      <xdr:col>4</xdr:col>
      <xdr:colOff>781050</xdr:colOff>
      <xdr:row>48</xdr:row>
      <xdr:rowOff>19050</xdr:rowOff>
    </xdr:to>
    <xdr:pic>
      <xdr:nvPicPr>
        <xdr:cNvPr id="8" name="TextBoxSonstigeLeistun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19375" y="76009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</xdr:row>
      <xdr:rowOff>0</xdr:rowOff>
    </xdr:from>
    <xdr:to>
      <xdr:col>4</xdr:col>
      <xdr:colOff>781050</xdr:colOff>
      <xdr:row>44</xdr:row>
      <xdr:rowOff>66675</xdr:rowOff>
    </xdr:to>
    <xdr:pic>
      <xdr:nvPicPr>
        <xdr:cNvPr id="9" name="TextBoxVersicheru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19375" y="70008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0</xdr:rowOff>
    </xdr:from>
    <xdr:to>
      <xdr:col>4</xdr:col>
      <xdr:colOff>771525</xdr:colOff>
      <xdr:row>42</xdr:row>
      <xdr:rowOff>66675</xdr:rowOff>
    </xdr:to>
    <xdr:pic>
      <xdr:nvPicPr>
        <xdr:cNvPr id="10" name="TextBoxWartu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9850" y="66770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47</xdr:row>
      <xdr:rowOff>0</xdr:rowOff>
    </xdr:from>
    <xdr:to>
      <xdr:col>7</xdr:col>
      <xdr:colOff>733425</xdr:colOff>
      <xdr:row>48</xdr:row>
      <xdr:rowOff>66675</xdr:rowOff>
    </xdr:to>
    <xdr:pic>
      <xdr:nvPicPr>
        <xdr:cNvPr id="11" name="Combo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43550" y="76485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152400</xdr:rowOff>
    </xdr:from>
    <xdr:to>
      <xdr:col>4</xdr:col>
      <xdr:colOff>876300</xdr:colOff>
      <xdr:row>19</xdr:row>
      <xdr:rowOff>57150</xdr:rowOff>
    </xdr:to>
    <xdr:pic>
      <xdr:nvPicPr>
        <xdr:cNvPr id="12" name="TextBoxAnschaffungskost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71725" y="2924175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9525</xdr:rowOff>
    </xdr:from>
    <xdr:to>
      <xdr:col>4</xdr:col>
      <xdr:colOff>857250</xdr:colOff>
      <xdr:row>23</xdr:row>
      <xdr:rowOff>57150</xdr:rowOff>
    </xdr:to>
    <xdr:pic>
      <xdr:nvPicPr>
        <xdr:cNvPr id="13" name="ComboBoxJahresleistu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359092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24</xdr:row>
      <xdr:rowOff>0</xdr:rowOff>
    </xdr:from>
    <xdr:to>
      <xdr:col>4</xdr:col>
      <xdr:colOff>866775</xdr:colOff>
      <xdr:row>25</xdr:row>
      <xdr:rowOff>66675</xdr:rowOff>
    </xdr:to>
    <xdr:pic>
      <xdr:nvPicPr>
        <xdr:cNvPr id="14" name="TextBoxAKjeLeistu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62200" y="3905250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49</xdr:row>
      <xdr:rowOff>9525</xdr:rowOff>
    </xdr:from>
    <xdr:to>
      <xdr:col>4</xdr:col>
      <xdr:colOff>781050</xdr:colOff>
      <xdr:row>50</xdr:row>
      <xdr:rowOff>57150</xdr:rowOff>
    </xdr:to>
    <xdr:pic>
      <xdr:nvPicPr>
        <xdr:cNvPr id="15" name="ComboBoxAlteru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9850" y="79819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0</xdr:rowOff>
    </xdr:from>
    <xdr:to>
      <xdr:col>4</xdr:col>
      <xdr:colOff>866775</xdr:colOff>
      <xdr:row>27</xdr:row>
      <xdr:rowOff>66675</xdr:rowOff>
    </xdr:to>
    <xdr:pic>
      <xdr:nvPicPr>
        <xdr:cNvPr id="16" name="TextBoxFlaech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62200" y="4229100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27</xdr:row>
      <xdr:rowOff>142875</xdr:rowOff>
    </xdr:from>
    <xdr:to>
      <xdr:col>5</xdr:col>
      <xdr:colOff>247650</xdr:colOff>
      <xdr:row>29</xdr:row>
      <xdr:rowOff>28575</xdr:rowOff>
    </xdr:to>
    <xdr:pic>
      <xdr:nvPicPr>
        <xdr:cNvPr id="17" name="ComboBoxModulart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33625" y="4533900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34</xdr:row>
      <xdr:rowOff>0</xdr:rowOff>
    </xdr:from>
    <xdr:to>
      <xdr:col>4</xdr:col>
      <xdr:colOff>866775</xdr:colOff>
      <xdr:row>35</xdr:row>
      <xdr:rowOff>66675</xdr:rowOff>
    </xdr:to>
    <xdr:pic>
      <xdr:nvPicPr>
        <xdr:cNvPr id="18" name="TextBoxVergütungNachAblau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05075" y="5524500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54</xdr:row>
      <xdr:rowOff>0</xdr:rowOff>
    </xdr:from>
    <xdr:to>
      <xdr:col>4</xdr:col>
      <xdr:colOff>771525</xdr:colOff>
      <xdr:row>55</xdr:row>
      <xdr:rowOff>47625</xdr:rowOff>
    </xdr:to>
    <xdr:pic>
      <xdr:nvPicPr>
        <xdr:cNvPr id="19" name="ComboBoxFinanzierungsanteil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0325" y="8801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56</xdr:row>
      <xdr:rowOff>152400</xdr:rowOff>
    </xdr:from>
    <xdr:to>
      <xdr:col>4</xdr:col>
      <xdr:colOff>819150</xdr:colOff>
      <xdr:row>58</xdr:row>
      <xdr:rowOff>57150</xdr:rowOff>
    </xdr:to>
    <xdr:pic>
      <xdr:nvPicPr>
        <xdr:cNvPr id="20" name="TextBoxKreditsumm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62225" y="9277350"/>
          <a:ext cx="60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67</xdr:row>
      <xdr:rowOff>95250</xdr:rowOff>
    </xdr:from>
    <xdr:to>
      <xdr:col>4</xdr:col>
      <xdr:colOff>733425</xdr:colOff>
      <xdr:row>69</xdr:row>
      <xdr:rowOff>0</xdr:rowOff>
    </xdr:to>
    <xdr:pic>
      <xdr:nvPicPr>
        <xdr:cNvPr id="21" name="TextBoxKreditrat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71750" y="110013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72</xdr:row>
      <xdr:rowOff>28575</xdr:rowOff>
    </xdr:from>
    <xdr:to>
      <xdr:col>4</xdr:col>
      <xdr:colOff>857250</xdr:colOff>
      <xdr:row>73</xdr:row>
      <xdr:rowOff>76200</xdr:rowOff>
    </xdr:to>
    <xdr:pic>
      <xdr:nvPicPr>
        <xdr:cNvPr id="22" name="ComboBoxSollzin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19375" y="117443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74</xdr:row>
      <xdr:rowOff>28575</xdr:rowOff>
    </xdr:from>
    <xdr:to>
      <xdr:col>4</xdr:col>
      <xdr:colOff>847725</xdr:colOff>
      <xdr:row>75</xdr:row>
      <xdr:rowOff>76200</xdr:rowOff>
    </xdr:to>
    <xdr:pic>
      <xdr:nvPicPr>
        <xdr:cNvPr id="23" name="ComboBoxHabenzin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19375" y="12068175"/>
          <a:ext cx="581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78</xdr:row>
      <xdr:rowOff>123825</xdr:rowOff>
    </xdr:from>
    <xdr:to>
      <xdr:col>4</xdr:col>
      <xdr:colOff>781050</xdr:colOff>
      <xdr:row>80</xdr:row>
      <xdr:rowOff>9525</xdr:rowOff>
    </xdr:to>
    <xdr:pic>
      <xdr:nvPicPr>
        <xdr:cNvPr id="24" name="ComboBoxInflationsrate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09850" y="12830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83</xdr:row>
      <xdr:rowOff>0</xdr:rowOff>
    </xdr:from>
    <xdr:to>
      <xdr:col>4</xdr:col>
      <xdr:colOff>819150</xdr:colOff>
      <xdr:row>84</xdr:row>
      <xdr:rowOff>47625</xdr:rowOff>
    </xdr:to>
    <xdr:pic>
      <xdr:nvPicPr>
        <xdr:cNvPr id="25" name="ComboBoxSteuersatz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47950" y="13515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84</xdr:row>
      <xdr:rowOff>152400</xdr:rowOff>
    </xdr:from>
    <xdr:to>
      <xdr:col>4</xdr:col>
      <xdr:colOff>809625</xdr:colOff>
      <xdr:row>86</xdr:row>
      <xdr:rowOff>38100</xdr:rowOff>
    </xdr:to>
    <xdr:pic>
      <xdr:nvPicPr>
        <xdr:cNvPr id="26" name="ComboBoxSteuersatzKap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38425" y="138303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32</xdr:row>
      <xdr:rowOff>9525</xdr:rowOff>
    </xdr:from>
    <xdr:to>
      <xdr:col>4</xdr:col>
      <xdr:colOff>838200</xdr:colOff>
      <xdr:row>33</xdr:row>
      <xdr:rowOff>57150</xdr:rowOff>
    </xdr:to>
    <xdr:pic>
      <xdr:nvPicPr>
        <xdr:cNvPr id="27" name="ComboBoxvorausNutzungsdauer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67000" y="5210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60</xdr:row>
      <xdr:rowOff>9525</xdr:rowOff>
    </xdr:from>
    <xdr:to>
      <xdr:col>4</xdr:col>
      <xdr:colOff>876300</xdr:colOff>
      <xdr:row>61</xdr:row>
      <xdr:rowOff>57150</xdr:rowOff>
    </xdr:to>
    <xdr:pic>
      <xdr:nvPicPr>
        <xdr:cNvPr id="28" name="ComboBoxNominalzin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90800" y="9782175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62</xdr:row>
      <xdr:rowOff>28575</xdr:rowOff>
    </xdr:from>
    <xdr:to>
      <xdr:col>4</xdr:col>
      <xdr:colOff>847725</xdr:colOff>
      <xdr:row>63</xdr:row>
      <xdr:rowOff>76200</xdr:rowOff>
    </xdr:to>
    <xdr:pic>
      <xdr:nvPicPr>
        <xdr:cNvPr id="29" name="ComboBoxDisagi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81275" y="1012507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64</xdr:row>
      <xdr:rowOff>0</xdr:rowOff>
    </xdr:from>
    <xdr:to>
      <xdr:col>4</xdr:col>
      <xdr:colOff>847725</xdr:colOff>
      <xdr:row>65</xdr:row>
      <xdr:rowOff>47625</xdr:rowOff>
    </xdr:to>
    <xdr:pic>
      <xdr:nvPicPr>
        <xdr:cNvPr id="30" name="ComboBoxTilgungsfrei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62225" y="10420350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65</xdr:row>
      <xdr:rowOff>114300</xdr:rowOff>
    </xdr:from>
    <xdr:to>
      <xdr:col>4</xdr:col>
      <xdr:colOff>847725</xdr:colOff>
      <xdr:row>67</xdr:row>
      <xdr:rowOff>0</xdr:rowOff>
    </xdr:to>
    <xdr:pic>
      <xdr:nvPicPr>
        <xdr:cNvPr id="31" name="ComboBoxKreditlaufzeit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62225" y="10696575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86</xdr:row>
      <xdr:rowOff>142875</xdr:rowOff>
    </xdr:from>
    <xdr:to>
      <xdr:col>6</xdr:col>
      <xdr:colOff>714375</xdr:colOff>
      <xdr:row>88</xdr:row>
      <xdr:rowOff>66675</xdr:rowOff>
    </xdr:to>
    <xdr:pic>
      <xdr:nvPicPr>
        <xdr:cNvPr id="32" name="OptionButtonAbschreibu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90800" y="14144625"/>
          <a:ext cx="1733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88</xdr:row>
      <xdr:rowOff>95250</xdr:rowOff>
    </xdr:from>
    <xdr:to>
      <xdr:col>6</xdr:col>
      <xdr:colOff>800100</xdr:colOff>
      <xdr:row>90</xdr:row>
      <xdr:rowOff>19050</xdr:rowOff>
    </xdr:to>
    <xdr:pic>
      <xdr:nvPicPr>
        <xdr:cNvPr id="33" name="OptionButtonDegressiv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90800" y="144208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91</xdr:row>
      <xdr:rowOff>57150</xdr:rowOff>
    </xdr:from>
    <xdr:to>
      <xdr:col>6</xdr:col>
      <xdr:colOff>438150</xdr:colOff>
      <xdr:row>92</xdr:row>
      <xdr:rowOff>123825</xdr:rowOff>
    </xdr:to>
    <xdr:pic>
      <xdr:nvPicPr>
        <xdr:cNvPr id="34" name="OptionButtonMonat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81275" y="148685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92</xdr:row>
      <xdr:rowOff>114300</xdr:rowOff>
    </xdr:from>
    <xdr:to>
      <xdr:col>6</xdr:col>
      <xdr:colOff>438150</xdr:colOff>
      <xdr:row>94</xdr:row>
      <xdr:rowOff>19050</xdr:rowOff>
    </xdr:to>
    <xdr:pic>
      <xdr:nvPicPr>
        <xdr:cNvPr id="35" name="OptionButtonQuartal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81275" y="150876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67</xdr:row>
      <xdr:rowOff>114300</xdr:rowOff>
    </xdr:from>
    <xdr:to>
      <xdr:col>7</xdr:col>
      <xdr:colOff>295275</xdr:colOff>
      <xdr:row>69</xdr:row>
      <xdr:rowOff>38100</xdr:rowOff>
    </xdr:to>
    <xdr:pic>
      <xdr:nvPicPr>
        <xdr:cNvPr id="36" name="CheckBoxAnuität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00550" y="110204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94</xdr:row>
      <xdr:rowOff>9525</xdr:rowOff>
    </xdr:from>
    <xdr:to>
      <xdr:col>6</xdr:col>
      <xdr:colOff>438150</xdr:colOff>
      <xdr:row>95</xdr:row>
      <xdr:rowOff>76200</xdr:rowOff>
    </xdr:to>
    <xdr:pic>
      <xdr:nvPicPr>
        <xdr:cNvPr id="37" name="OptionButtonJahr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81275" y="153066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69</xdr:row>
      <xdr:rowOff>142875</xdr:rowOff>
    </xdr:from>
    <xdr:to>
      <xdr:col>4</xdr:col>
      <xdr:colOff>828675</xdr:colOff>
      <xdr:row>71</xdr:row>
      <xdr:rowOff>38100</xdr:rowOff>
    </xdr:to>
    <xdr:pic>
      <xdr:nvPicPr>
        <xdr:cNvPr id="38" name="ComboBoxStartMonatKredit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95525" y="11372850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69</xdr:row>
      <xdr:rowOff>142875</xdr:rowOff>
    </xdr:from>
    <xdr:to>
      <xdr:col>6</xdr:col>
      <xdr:colOff>381000</xdr:colOff>
      <xdr:row>71</xdr:row>
      <xdr:rowOff>28575</xdr:rowOff>
    </xdr:to>
    <xdr:pic>
      <xdr:nvPicPr>
        <xdr:cNvPr id="39" name="ComboBoxStartjahrKredit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3257550" y="11372850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21</xdr:row>
      <xdr:rowOff>142875</xdr:rowOff>
    </xdr:from>
    <xdr:to>
      <xdr:col>7</xdr:col>
      <xdr:colOff>114300</xdr:colOff>
      <xdr:row>24</xdr:row>
      <xdr:rowOff>133350</xdr:rowOff>
    </xdr:to>
    <xdr:pic>
      <xdr:nvPicPr>
        <xdr:cNvPr id="40" name="CommandButtonBerechnen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391025" y="3562350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0.0955</cdr:y>
    </cdr:from>
    <cdr:to>
      <cdr:x>0.1525</cdr:x>
      <cdr:y>0.15825</cdr:y>
    </cdr:to>
    <cdr:sp>
      <cdr:nvSpPr>
        <cdr:cNvPr id="1" name="Rectangle 1"/>
        <cdr:cNvSpPr>
          <a:spLocks/>
        </cdr:cNvSpPr>
      </cdr:nvSpPr>
      <cdr:spPr>
        <a:xfrm>
          <a:off x="361950" y="29527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2.000</a:t>
          </a:r>
        </a:p>
      </cdr:txBody>
    </cdr:sp>
  </cdr:relSizeAnchor>
  <cdr:relSizeAnchor xmlns:cdr="http://schemas.openxmlformats.org/drawingml/2006/chartDrawing">
    <cdr:from>
      <cdr:x>0.69575</cdr:x>
      <cdr:y>0.93175</cdr:y>
    </cdr:from>
    <cdr:to>
      <cdr:x>0.95625</cdr:x>
      <cdr:y>0.99475</cdr:y>
    </cdr:to>
    <cdr:sp>
      <cdr:nvSpPr>
        <cdr:cNvPr id="2" name="Rectangle 3"/>
        <cdr:cNvSpPr>
          <a:spLocks/>
        </cdr:cNvSpPr>
      </cdr:nvSpPr>
      <cdr:spPr>
        <a:xfrm>
          <a:off x="3190875" y="2943225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Kalkulationszinssatz 4%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30</xdr:row>
      <xdr:rowOff>76200</xdr:rowOff>
    </xdr:from>
    <xdr:to>
      <xdr:col>16</xdr:col>
      <xdr:colOff>66675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848225" y="5448300"/>
        <a:ext cx="4591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114300</xdr:rowOff>
    </xdr:from>
    <xdr:to>
      <xdr:col>8</xdr:col>
      <xdr:colOff>352425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2495550" y="10696575"/>
        <a:ext cx="49244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152400</xdr:rowOff>
    </xdr:from>
    <xdr:to>
      <xdr:col>8</xdr:col>
      <xdr:colOff>371475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2495550" y="7172325"/>
        <a:ext cx="49434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22</xdr:row>
      <xdr:rowOff>66675</xdr:rowOff>
    </xdr:from>
    <xdr:to>
      <xdr:col>8</xdr:col>
      <xdr:colOff>381000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495550" y="3686175"/>
        <a:ext cx="49530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igene%20Dateien\TS-Preise-Mar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Gustav%20Resch\Eigene%20Dateien\green-x\database%20Green-X\data%20RES-E\elgreen\wa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len Super"/>
    </sheetNames>
    <sheetDataSet>
      <sheetData sheetId="0">
        <row r="2">
          <cell r="F2">
            <v>1.16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c - figures"/>
      <sheetName val="costs - data"/>
      <sheetName val="potentials &amp; flh &amp; cost - data"/>
      <sheetName val="cc FI, GR, IRL, PT"/>
      <sheetName val="cc BE, DK, IRL, LUX, NL"/>
      <sheetName val="cc F, DE, I, E, UK"/>
      <sheetName val="cc AT, NL, PT,  S"/>
      <sheetName val="Austria D"/>
      <sheetName val="Austria"/>
      <sheetName val="Belgium D"/>
      <sheetName val="Belgium"/>
      <sheetName val="Denmark D"/>
      <sheetName val="Denmark"/>
      <sheetName val="Finland D"/>
      <sheetName val="Finland"/>
      <sheetName val="France D"/>
      <sheetName val="France"/>
      <sheetName val="Germany D"/>
      <sheetName val="Germany"/>
      <sheetName val="Greece D"/>
      <sheetName val="Greece"/>
      <sheetName val="Ireland D"/>
      <sheetName val="Ireland"/>
      <sheetName val="Italy D"/>
      <sheetName val="Italy"/>
      <sheetName val="Luxembourg D"/>
      <sheetName val="Luxembourg"/>
      <sheetName val="Netherlands D"/>
      <sheetName val="Netherlands"/>
      <sheetName val="Portugal D"/>
      <sheetName val="Portugal"/>
      <sheetName val="Spain D"/>
      <sheetName val="Spain"/>
      <sheetName val="Sweden D"/>
      <sheetName val="Sweden"/>
      <sheetName val="United Kingdom D"/>
      <sheetName val="United Kingdom"/>
    </sheetNames>
    <sheetDataSet>
      <sheetData sheetId="2">
        <row r="18">
          <cell r="B18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Y2014"/>
  <sheetViews>
    <sheetView showGridLines="0" workbookViewId="0" topLeftCell="A1">
      <selection activeCell="H19" sqref="H19"/>
    </sheetView>
  </sheetViews>
  <sheetFormatPr defaultColWidth="11.421875" defaultRowHeight="12.75"/>
  <cols>
    <col min="1" max="1" width="6.421875" style="0" customWidth="1"/>
    <col min="2" max="2" width="3.00390625" style="0" customWidth="1"/>
    <col min="3" max="3" width="22.57421875" style="0" customWidth="1"/>
    <col min="4" max="4" width="3.28125" style="0" customWidth="1"/>
    <col min="5" max="5" width="13.8515625" style="0" customWidth="1"/>
    <col min="6" max="6" width="5.00390625" style="0" customWidth="1"/>
    <col min="7" max="7" width="28.00390625" style="0" customWidth="1"/>
    <col min="8" max="8" width="12.28125" style="0" customWidth="1"/>
    <col min="9" max="9" width="6.00390625" style="0" customWidth="1"/>
    <col min="10" max="10" width="13.57421875" style="0" hidden="1" customWidth="1"/>
    <col min="11" max="11" width="18.421875" style="0" hidden="1" customWidth="1"/>
    <col min="12" max="16" width="11.421875" style="0" hidden="1" customWidth="1"/>
    <col min="17" max="19" width="0" style="0" hidden="1" customWidth="1"/>
    <col min="20" max="20" width="15.421875" style="0" hidden="1" customWidth="1"/>
    <col min="21" max="21" width="8.140625" style="0" hidden="1" customWidth="1"/>
    <col min="22" max="22" width="6.00390625" style="0" hidden="1" customWidth="1"/>
    <col min="23" max="23" width="7.57421875" style="0" hidden="1" customWidth="1"/>
    <col min="24" max="24" width="8.57421875" style="0" hidden="1" customWidth="1"/>
    <col min="25" max="25" width="0" style="2" hidden="1" customWidth="1"/>
    <col min="26" max="26" width="0" style="0" hidden="1" customWidth="1"/>
  </cols>
  <sheetData>
    <row r="1" spans="3:5" s="139" customFormat="1" ht="12.75">
      <c r="C1" s="140" t="s">
        <v>99</v>
      </c>
      <c r="D1" s="140"/>
      <c r="E1" s="140"/>
    </row>
    <row r="2" spans="3:5" s="139" customFormat="1" ht="12.75">
      <c r="C2" s="140" t="s">
        <v>100</v>
      </c>
      <c r="D2" s="140"/>
      <c r="E2" s="140"/>
    </row>
    <row r="3" spans="3:5" s="139" customFormat="1" ht="12.75">
      <c r="C3" s="140"/>
      <c r="D3" s="140"/>
      <c r="E3" s="140"/>
    </row>
    <row r="4" spans="3:5" s="139" customFormat="1" ht="12.75">
      <c r="C4" s="140" t="s">
        <v>101</v>
      </c>
      <c r="D4" s="140" t="s">
        <v>95</v>
      </c>
      <c r="E4" s="140"/>
    </row>
    <row r="5" spans="3:5" s="139" customFormat="1" ht="12.75">
      <c r="C5" s="140"/>
      <c r="D5" s="140" t="s">
        <v>102</v>
      </c>
      <c r="E5" s="140"/>
    </row>
    <row r="6" spans="3:5" s="139" customFormat="1" ht="12.75">
      <c r="C6" s="140"/>
      <c r="D6" s="140" t="s">
        <v>103</v>
      </c>
      <c r="E6" s="140"/>
    </row>
    <row r="7" spans="3:5" s="139" customFormat="1" ht="12.75">
      <c r="C7" s="140"/>
      <c r="D7" s="140" t="s">
        <v>104</v>
      </c>
      <c r="E7" s="140"/>
    </row>
    <row r="8" spans="3:5" s="139" customFormat="1" ht="12.75">
      <c r="C8" s="140"/>
      <c r="D8" s="140" t="s">
        <v>105</v>
      </c>
      <c r="E8" s="140"/>
    </row>
    <row r="9" spans="3:5" s="139" customFormat="1" ht="12.75">
      <c r="C9" s="140"/>
      <c r="D9" s="140" t="s">
        <v>196</v>
      </c>
      <c r="E9" s="140"/>
    </row>
    <row r="10" spans="3:5" s="145" customFormat="1" ht="13.5" thickBot="1">
      <c r="C10" s="146"/>
      <c r="D10" s="146"/>
      <c r="E10" s="146"/>
    </row>
    <row r="11" spans="3:5" s="107" customFormat="1" ht="13.5" thickBot="1">
      <c r="C11" s="144"/>
      <c r="D11" s="144"/>
      <c r="E11" s="144"/>
    </row>
    <row r="12" spans="2:9" ht="12.75">
      <c r="B12" s="169"/>
      <c r="C12" s="179" t="s">
        <v>163</v>
      </c>
      <c r="D12" s="170"/>
      <c r="E12" s="170"/>
      <c r="F12" s="170"/>
      <c r="G12" s="170"/>
      <c r="H12" s="170"/>
      <c r="I12" s="171"/>
    </row>
    <row r="13" spans="2:24" ht="12.75">
      <c r="B13" s="172"/>
      <c r="C13" s="178"/>
      <c r="D13" s="147"/>
      <c r="E13" s="147"/>
      <c r="F13" s="147"/>
      <c r="G13" s="147"/>
      <c r="H13" s="147"/>
      <c r="I13" s="173"/>
      <c r="M13" t="s">
        <v>34</v>
      </c>
      <c r="N13" t="s">
        <v>106</v>
      </c>
      <c r="O13" t="s">
        <v>0</v>
      </c>
      <c r="R13" s="142" t="s">
        <v>113</v>
      </c>
      <c r="S13" t="s">
        <v>115</v>
      </c>
      <c r="T13" t="s">
        <v>98</v>
      </c>
      <c r="U13" t="s">
        <v>126</v>
      </c>
      <c r="V13" s="1" t="s">
        <v>152</v>
      </c>
      <c r="W13" s="1" t="s">
        <v>150</v>
      </c>
      <c r="X13" s="1" t="s">
        <v>151</v>
      </c>
    </row>
    <row r="14" spans="2:25" ht="12.75">
      <c r="B14" s="172"/>
      <c r="C14" s="147"/>
      <c r="D14" s="147"/>
      <c r="E14" s="147"/>
      <c r="F14" s="147"/>
      <c r="G14" s="147"/>
      <c r="H14" s="147"/>
      <c r="I14" s="173"/>
      <c r="M14" t="s">
        <v>22</v>
      </c>
      <c r="N14" s="5">
        <v>1</v>
      </c>
      <c r="O14">
        <f ca="1">YEAR(TODAY())-12</f>
        <v>1995</v>
      </c>
      <c r="P14" s="5">
        <f>O34-1</f>
        <v>2006</v>
      </c>
      <c r="Q14" s="141"/>
      <c r="R14" s="142">
        <v>0</v>
      </c>
      <c r="S14" s="143">
        <v>500</v>
      </c>
      <c r="T14" s="22">
        <v>62.4</v>
      </c>
      <c r="U14" t="s">
        <v>128</v>
      </c>
      <c r="V14">
        <v>0</v>
      </c>
      <c r="W14" s="16">
        <v>0</v>
      </c>
      <c r="X14" s="2">
        <v>0</v>
      </c>
      <c r="Y14" s="2">
        <v>0</v>
      </c>
    </row>
    <row r="15" spans="2:25" ht="12.75">
      <c r="B15" s="172"/>
      <c r="C15" s="147" t="s">
        <v>88</v>
      </c>
      <c r="D15" s="147" t="s">
        <v>107</v>
      </c>
      <c r="E15" s="147"/>
      <c r="F15" s="147"/>
      <c r="G15" s="148"/>
      <c r="H15" s="148"/>
      <c r="I15" s="174"/>
      <c r="J15" s="9">
        <f>DATE(O34,N34,1)</f>
        <v>39234</v>
      </c>
      <c r="K15" s="9">
        <f>DATE(YEAR(J15),MONTH(J15)+1,DAY(J15)-1)</f>
        <v>39263</v>
      </c>
      <c r="M15" t="s">
        <v>23</v>
      </c>
      <c r="N15" s="5">
        <v>2</v>
      </c>
      <c r="O15">
        <f>O14+1</f>
        <v>1996</v>
      </c>
      <c r="P15" s="5">
        <f>P14+1</f>
        <v>2007</v>
      </c>
      <c r="Q15" s="141"/>
      <c r="R15" s="142">
        <v>0.1</v>
      </c>
      <c r="S15" s="143">
        <v>501</v>
      </c>
      <c r="T15" s="22">
        <v>59.53</v>
      </c>
      <c r="U15" t="s">
        <v>129</v>
      </c>
      <c r="V15">
        <v>1</v>
      </c>
      <c r="W15" s="16">
        <v>0.1</v>
      </c>
      <c r="X15" s="2">
        <v>0.01</v>
      </c>
      <c r="Y15" s="2">
        <v>0.05</v>
      </c>
    </row>
    <row r="16" spans="2:25" ht="12.75">
      <c r="B16" s="172"/>
      <c r="C16" s="147"/>
      <c r="D16" s="147"/>
      <c r="E16" s="147"/>
      <c r="F16" s="147"/>
      <c r="G16" s="147"/>
      <c r="H16" s="147"/>
      <c r="I16" s="173"/>
      <c r="M16" t="s">
        <v>24</v>
      </c>
      <c r="N16" s="5">
        <v>3</v>
      </c>
      <c r="O16">
        <f aca="true" t="shared" si="0" ref="O16:O32">O15+1</f>
        <v>1997</v>
      </c>
      <c r="P16" s="5">
        <f aca="true" t="shared" si="1" ref="P16:P32">P15+1</f>
        <v>2008</v>
      </c>
      <c r="Q16" s="141"/>
      <c r="R16" s="142">
        <v>0.2</v>
      </c>
      <c r="S16" s="143">
        <v>502</v>
      </c>
      <c r="T16" s="22">
        <v>57.4</v>
      </c>
      <c r="U16" t="s">
        <v>130</v>
      </c>
      <c r="V16">
        <v>2</v>
      </c>
      <c r="W16" s="16">
        <v>0.2</v>
      </c>
      <c r="X16" s="2">
        <v>0.02</v>
      </c>
      <c r="Y16" s="2">
        <v>0.1</v>
      </c>
    </row>
    <row r="17" spans="2:25" ht="12.75">
      <c r="B17" s="172"/>
      <c r="C17" s="147" t="s">
        <v>98</v>
      </c>
      <c r="D17" s="147"/>
      <c r="E17" s="147"/>
      <c r="F17" s="147" t="s">
        <v>133</v>
      </c>
      <c r="G17" s="147"/>
      <c r="H17" s="147"/>
      <c r="I17" s="173"/>
      <c r="J17" s="2" t="s">
        <v>178</v>
      </c>
      <c r="K17" s="14">
        <f>J17/100</f>
        <v>0.4921</v>
      </c>
      <c r="M17" t="s">
        <v>25</v>
      </c>
      <c r="N17" s="5">
        <v>4</v>
      </c>
      <c r="O17">
        <f t="shared" si="0"/>
        <v>1998</v>
      </c>
      <c r="P17" s="5">
        <f t="shared" si="1"/>
        <v>2009</v>
      </c>
      <c r="Q17" s="141"/>
      <c r="R17" s="142">
        <v>0.3</v>
      </c>
      <c r="S17" s="143">
        <v>503</v>
      </c>
      <c r="T17" s="22">
        <v>56.8</v>
      </c>
      <c r="U17" t="s">
        <v>131</v>
      </c>
      <c r="V17">
        <v>3</v>
      </c>
      <c r="W17" s="16">
        <v>0.3</v>
      </c>
      <c r="X17" s="2">
        <v>0.03</v>
      </c>
      <c r="Y17" s="2">
        <v>0.15</v>
      </c>
    </row>
    <row r="18" spans="2:25" ht="12.75">
      <c r="B18" s="172"/>
      <c r="C18" s="147"/>
      <c r="D18" s="147"/>
      <c r="E18" s="147"/>
      <c r="F18" s="147"/>
      <c r="G18" s="147"/>
      <c r="H18" s="147"/>
      <c r="I18" s="173"/>
      <c r="M18" t="s">
        <v>26</v>
      </c>
      <c r="N18" s="5">
        <v>5</v>
      </c>
      <c r="O18">
        <f t="shared" si="0"/>
        <v>1999</v>
      </c>
      <c r="P18" s="5">
        <f t="shared" si="1"/>
        <v>2010</v>
      </c>
      <c r="Q18" s="141"/>
      <c r="R18" s="142">
        <v>0.4</v>
      </c>
      <c r="S18" s="143">
        <v>504</v>
      </c>
      <c r="T18" s="22">
        <v>54.6</v>
      </c>
      <c r="U18" t="s">
        <v>132</v>
      </c>
      <c r="V18">
        <v>4</v>
      </c>
      <c r="W18" s="16">
        <v>0.4</v>
      </c>
      <c r="X18" s="2">
        <v>0.04</v>
      </c>
      <c r="Y18" s="2">
        <v>0.2</v>
      </c>
    </row>
    <row r="19" spans="2:25" ht="12.75">
      <c r="B19" s="172"/>
      <c r="C19" s="147" t="s">
        <v>112</v>
      </c>
      <c r="D19" s="147"/>
      <c r="E19" s="147"/>
      <c r="F19" s="147" t="s">
        <v>111</v>
      </c>
      <c r="G19" s="147"/>
      <c r="H19" s="147"/>
      <c r="I19" s="173"/>
      <c r="J19" s="5" t="s">
        <v>195</v>
      </c>
      <c r="L19" s="5">
        <f>ROUND(J25*J21,0)</f>
        <v>20000</v>
      </c>
      <c r="M19" t="s">
        <v>27</v>
      </c>
      <c r="N19" s="5">
        <v>6</v>
      </c>
      <c r="O19">
        <f t="shared" si="0"/>
        <v>2000</v>
      </c>
      <c r="P19" s="5">
        <f t="shared" si="1"/>
        <v>2011</v>
      </c>
      <c r="Q19" s="141"/>
      <c r="R19" s="142">
        <v>0.5</v>
      </c>
      <c r="S19" s="143">
        <v>505</v>
      </c>
      <c r="T19" s="22">
        <v>54.53</v>
      </c>
      <c r="V19">
        <v>5</v>
      </c>
      <c r="W19" s="16">
        <v>0.5</v>
      </c>
      <c r="X19" s="2">
        <v>0.05</v>
      </c>
      <c r="Y19" s="2">
        <v>0.25</v>
      </c>
    </row>
    <row r="20" spans="2:25" ht="12.75">
      <c r="B20" s="172"/>
      <c r="C20" s="147"/>
      <c r="D20" s="147"/>
      <c r="E20" s="147"/>
      <c r="F20" s="147"/>
      <c r="G20" s="147"/>
      <c r="H20" s="147"/>
      <c r="I20" s="173"/>
      <c r="L20" s="5"/>
      <c r="M20" t="s">
        <v>28</v>
      </c>
      <c r="N20" s="5">
        <v>7</v>
      </c>
      <c r="O20">
        <f t="shared" si="0"/>
        <v>2001</v>
      </c>
      <c r="P20" s="5">
        <f t="shared" si="1"/>
        <v>2012</v>
      </c>
      <c r="Q20" s="141"/>
      <c r="R20" s="142">
        <v>0.6</v>
      </c>
      <c r="S20" s="143">
        <v>506</v>
      </c>
      <c r="T20" s="22">
        <v>54.21</v>
      </c>
      <c r="V20">
        <v>6</v>
      </c>
      <c r="W20" s="16">
        <v>0.6</v>
      </c>
      <c r="X20" s="2">
        <v>0.06</v>
      </c>
      <c r="Y20" s="2">
        <v>0.3</v>
      </c>
    </row>
    <row r="21" spans="2:25" ht="12.75">
      <c r="B21" s="172"/>
      <c r="C21" s="147" t="s">
        <v>113</v>
      </c>
      <c r="D21" s="147"/>
      <c r="E21" s="147"/>
      <c r="F21" s="147" t="s">
        <v>114</v>
      </c>
      <c r="G21" s="147"/>
      <c r="H21" s="147"/>
      <c r="I21" s="173"/>
      <c r="J21" s="2" t="s">
        <v>145</v>
      </c>
      <c r="L21" s="16">
        <f>ROUND(J19/J25,2)</f>
        <v>5</v>
      </c>
      <c r="M21" t="s">
        <v>29</v>
      </c>
      <c r="N21" s="5">
        <v>8</v>
      </c>
      <c r="O21">
        <f t="shared" si="0"/>
        <v>2002</v>
      </c>
      <c r="P21" s="5">
        <f t="shared" si="1"/>
        <v>2013</v>
      </c>
      <c r="Q21" s="141"/>
      <c r="R21" s="142">
        <v>0.7</v>
      </c>
      <c r="S21" s="143">
        <v>507</v>
      </c>
      <c r="T21" s="22">
        <v>54</v>
      </c>
      <c r="V21">
        <v>7</v>
      </c>
      <c r="W21" s="16">
        <v>0.7</v>
      </c>
      <c r="X21" s="2">
        <v>0.07</v>
      </c>
      <c r="Y21" s="2">
        <v>0.35</v>
      </c>
    </row>
    <row r="22" spans="2:25" ht="12.75">
      <c r="B22" s="172"/>
      <c r="C22" s="147"/>
      <c r="D22" s="147"/>
      <c r="E22" s="147"/>
      <c r="F22" s="147"/>
      <c r="G22" s="147"/>
      <c r="H22" s="147"/>
      <c r="I22" s="173"/>
      <c r="M22" t="s">
        <v>30</v>
      </c>
      <c r="N22" s="5">
        <v>9</v>
      </c>
      <c r="O22">
        <f t="shared" si="0"/>
        <v>2003</v>
      </c>
      <c r="P22" s="5">
        <f t="shared" si="1"/>
        <v>2014</v>
      </c>
      <c r="Q22" s="141"/>
      <c r="R22" s="142">
        <v>0.8</v>
      </c>
      <c r="S22" s="143">
        <v>508</v>
      </c>
      <c r="T22" s="22">
        <v>51.87</v>
      </c>
      <c r="V22">
        <v>8</v>
      </c>
      <c r="W22" s="16">
        <v>0.8</v>
      </c>
      <c r="X22" s="2">
        <v>0.08</v>
      </c>
      <c r="Y22" s="2">
        <v>0.4</v>
      </c>
    </row>
    <row r="23" spans="2:25" ht="12.75">
      <c r="B23" s="172"/>
      <c r="C23" s="147" t="s">
        <v>135</v>
      </c>
      <c r="D23" s="147"/>
      <c r="E23" s="147"/>
      <c r="F23" s="147" t="s">
        <v>134</v>
      </c>
      <c r="G23" s="147"/>
      <c r="H23" s="147"/>
      <c r="I23" s="173"/>
      <c r="J23" s="5" t="s">
        <v>194</v>
      </c>
      <c r="M23" t="s">
        <v>31</v>
      </c>
      <c r="N23" s="5">
        <v>10</v>
      </c>
      <c r="O23">
        <f t="shared" si="0"/>
        <v>2004</v>
      </c>
      <c r="P23" s="5">
        <f t="shared" si="1"/>
        <v>2015</v>
      </c>
      <c r="Q23" s="141"/>
      <c r="R23" s="142">
        <v>0.9</v>
      </c>
      <c r="S23" s="143">
        <v>509</v>
      </c>
      <c r="T23" s="22">
        <v>51.8</v>
      </c>
      <c r="V23">
        <v>9</v>
      </c>
      <c r="W23" s="16">
        <v>0.9</v>
      </c>
      <c r="X23" s="2">
        <v>0.09</v>
      </c>
      <c r="Y23" s="2">
        <v>0.45</v>
      </c>
    </row>
    <row r="24" spans="2:25" ht="12.75">
      <c r="B24" s="172"/>
      <c r="C24" s="147"/>
      <c r="D24" s="147"/>
      <c r="E24" s="147"/>
      <c r="F24" s="147"/>
      <c r="G24" s="147"/>
      <c r="H24" s="147"/>
      <c r="I24" s="173"/>
      <c r="M24" t="s">
        <v>32</v>
      </c>
      <c r="N24" s="5">
        <v>11</v>
      </c>
      <c r="O24">
        <f t="shared" si="0"/>
        <v>2005</v>
      </c>
      <c r="P24" s="5">
        <f t="shared" si="1"/>
        <v>2016</v>
      </c>
      <c r="Q24" s="141"/>
      <c r="R24" s="142">
        <v>1</v>
      </c>
      <c r="S24" s="143">
        <v>510</v>
      </c>
      <c r="T24" s="22">
        <v>51.75</v>
      </c>
      <c r="V24">
        <v>10</v>
      </c>
      <c r="W24" s="16">
        <v>1</v>
      </c>
      <c r="X24" s="2">
        <v>0.1</v>
      </c>
      <c r="Y24" s="2">
        <v>0.5</v>
      </c>
    </row>
    <row r="25" spans="2:25" ht="12.75">
      <c r="B25" s="172"/>
      <c r="C25" s="147" t="s">
        <v>116</v>
      </c>
      <c r="D25" s="147"/>
      <c r="E25" s="147"/>
      <c r="F25" s="147" t="s">
        <v>47</v>
      </c>
      <c r="G25" s="147"/>
      <c r="H25" s="147"/>
      <c r="I25" s="173"/>
      <c r="J25" s="5" t="s">
        <v>179</v>
      </c>
      <c r="L25" s="5">
        <f>ROUND(J19/J21,0)</f>
        <v>4000</v>
      </c>
      <c r="M25" t="s">
        <v>33</v>
      </c>
      <c r="N25" s="5">
        <v>12</v>
      </c>
      <c r="O25">
        <f t="shared" si="0"/>
        <v>2006</v>
      </c>
      <c r="P25" s="5">
        <f t="shared" si="1"/>
        <v>2017</v>
      </c>
      <c r="Q25" s="141"/>
      <c r="R25" s="142">
        <v>1.1</v>
      </c>
      <c r="S25" s="143">
        <v>511</v>
      </c>
      <c r="T25" s="22">
        <v>51.3</v>
      </c>
      <c r="V25">
        <v>11</v>
      </c>
      <c r="W25" s="16">
        <v>1.1</v>
      </c>
      <c r="X25" s="2">
        <v>0.11</v>
      </c>
      <c r="Y25" s="2">
        <v>0.55</v>
      </c>
    </row>
    <row r="26" spans="2:25" ht="12.75">
      <c r="B26" s="172"/>
      <c r="C26" s="147"/>
      <c r="D26" s="147"/>
      <c r="E26" s="147"/>
      <c r="F26" s="147"/>
      <c r="G26" s="147"/>
      <c r="H26" s="147"/>
      <c r="I26" s="173"/>
      <c r="O26">
        <f t="shared" si="0"/>
        <v>2007</v>
      </c>
      <c r="P26" s="5">
        <f t="shared" si="1"/>
        <v>2018</v>
      </c>
      <c r="Q26" s="141"/>
      <c r="R26" s="142">
        <v>1.2</v>
      </c>
      <c r="S26" s="143">
        <v>512</v>
      </c>
      <c r="T26" s="22">
        <v>49.42</v>
      </c>
      <c r="V26">
        <v>12</v>
      </c>
      <c r="W26" s="16">
        <v>1.2</v>
      </c>
      <c r="X26" s="2">
        <v>0.12</v>
      </c>
      <c r="Y26" s="2">
        <v>0.6</v>
      </c>
    </row>
    <row r="27" spans="2:25" ht="12.75">
      <c r="B27" s="172"/>
      <c r="C27" s="147" t="s">
        <v>125</v>
      </c>
      <c r="D27" s="147"/>
      <c r="E27" s="147"/>
      <c r="F27" s="147" t="s">
        <v>127</v>
      </c>
      <c r="G27" s="147"/>
      <c r="H27" s="147"/>
      <c r="I27" s="173"/>
      <c r="J27" s="5" t="s">
        <v>137</v>
      </c>
      <c r="O27">
        <f t="shared" si="0"/>
        <v>2008</v>
      </c>
      <c r="P27" s="5">
        <f t="shared" si="1"/>
        <v>2019</v>
      </c>
      <c r="Q27" s="141"/>
      <c r="R27" s="142">
        <v>1.3</v>
      </c>
      <c r="S27" s="143">
        <v>513</v>
      </c>
      <c r="T27" s="22">
        <v>49.28</v>
      </c>
      <c r="V27">
        <v>13</v>
      </c>
      <c r="W27" s="16">
        <v>1.3</v>
      </c>
      <c r="X27" s="2">
        <v>0.13</v>
      </c>
      <c r="Y27" s="2">
        <v>0.65</v>
      </c>
    </row>
    <row r="28" spans="2:25" ht="12.75">
      <c r="B28" s="172"/>
      <c r="C28" s="147"/>
      <c r="D28" s="147"/>
      <c r="E28" s="147"/>
      <c r="F28" s="147"/>
      <c r="G28" s="147"/>
      <c r="H28" s="147"/>
      <c r="I28" s="173"/>
      <c r="O28">
        <f t="shared" si="0"/>
        <v>2009</v>
      </c>
      <c r="P28" s="5">
        <f t="shared" si="1"/>
        <v>2020</v>
      </c>
      <c r="Q28" s="141"/>
      <c r="R28" s="142">
        <v>1.4</v>
      </c>
      <c r="S28" s="143">
        <v>514</v>
      </c>
      <c r="T28" s="22">
        <v>49.21</v>
      </c>
      <c r="V28">
        <v>14</v>
      </c>
      <c r="W28" s="16">
        <v>1.4</v>
      </c>
      <c r="X28" s="2">
        <v>0.14</v>
      </c>
      <c r="Y28" s="2">
        <v>0.7</v>
      </c>
    </row>
    <row r="29" spans="2:25" ht="12.75">
      <c r="B29" s="172"/>
      <c r="C29" s="147" t="s">
        <v>126</v>
      </c>
      <c r="D29" s="147"/>
      <c r="E29" s="147"/>
      <c r="F29" s="147"/>
      <c r="G29" s="147"/>
      <c r="H29" s="147"/>
      <c r="I29" s="173"/>
      <c r="J29" t="s">
        <v>128</v>
      </c>
      <c r="O29">
        <f t="shared" si="0"/>
        <v>2010</v>
      </c>
      <c r="P29" s="5">
        <f t="shared" si="1"/>
        <v>2021</v>
      </c>
      <c r="Q29" s="141"/>
      <c r="R29" s="142">
        <v>1.5</v>
      </c>
      <c r="S29" s="143">
        <v>515</v>
      </c>
      <c r="T29" s="22">
        <v>48.74</v>
      </c>
      <c r="V29">
        <v>15</v>
      </c>
      <c r="W29" s="16">
        <v>1.5</v>
      </c>
      <c r="X29" s="2">
        <v>0.15</v>
      </c>
      <c r="Y29" s="2">
        <v>0.75</v>
      </c>
    </row>
    <row r="30" spans="2:25" ht="12.75">
      <c r="B30" s="172"/>
      <c r="C30" s="147"/>
      <c r="D30" s="147"/>
      <c r="E30" s="147"/>
      <c r="F30" s="147"/>
      <c r="G30" s="147"/>
      <c r="H30" s="147"/>
      <c r="I30" s="173"/>
      <c r="O30">
        <f t="shared" si="0"/>
        <v>2011</v>
      </c>
      <c r="P30" s="5">
        <f t="shared" si="1"/>
        <v>2022</v>
      </c>
      <c r="Q30" s="141"/>
      <c r="R30" s="142">
        <v>1.6</v>
      </c>
      <c r="S30" s="143">
        <v>516</v>
      </c>
      <c r="T30" s="22">
        <v>47.19</v>
      </c>
      <c r="V30">
        <v>16</v>
      </c>
      <c r="W30" s="16">
        <v>1.6</v>
      </c>
      <c r="X30" s="2">
        <v>0.16</v>
      </c>
      <c r="Y30" s="2">
        <v>0.8</v>
      </c>
    </row>
    <row r="31" spans="2:25" ht="12.75">
      <c r="B31" s="172"/>
      <c r="C31" s="147"/>
      <c r="D31" s="147"/>
      <c r="E31" s="147"/>
      <c r="F31" s="147"/>
      <c r="G31" s="147"/>
      <c r="H31" s="147"/>
      <c r="I31" s="173"/>
      <c r="O31">
        <f t="shared" si="0"/>
        <v>2012</v>
      </c>
      <c r="P31" s="5">
        <f t="shared" si="1"/>
        <v>2023</v>
      </c>
      <c r="Q31" s="141"/>
      <c r="R31" s="142">
        <v>1.7</v>
      </c>
      <c r="S31" s="143">
        <v>517</v>
      </c>
      <c r="T31" s="22">
        <v>46.81</v>
      </c>
      <c r="V31">
        <v>17</v>
      </c>
      <c r="W31" s="16">
        <v>1.7</v>
      </c>
      <c r="X31" s="2">
        <v>0.17</v>
      </c>
      <c r="Y31" s="2">
        <v>0.85</v>
      </c>
    </row>
    <row r="32" spans="2:25" ht="12.75">
      <c r="B32" s="172"/>
      <c r="C32" s="147"/>
      <c r="D32" s="147"/>
      <c r="E32" s="147"/>
      <c r="F32" s="147"/>
      <c r="G32" s="147"/>
      <c r="H32" s="147"/>
      <c r="I32" s="173"/>
      <c r="O32">
        <f t="shared" si="0"/>
        <v>2013</v>
      </c>
      <c r="P32" s="5">
        <f t="shared" si="1"/>
        <v>2024</v>
      </c>
      <c r="Q32" s="141"/>
      <c r="R32" s="142">
        <v>1.8</v>
      </c>
      <c r="S32" s="143">
        <v>518</v>
      </c>
      <c r="T32" s="22">
        <v>46.75265875</v>
      </c>
      <c r="V32">
        <v>18</v>
      </c>
      <c r="W32" s="16">
        <v>1.8</v>
      </c>
      <c r="X32" s="2">
        <v>0.18</v>
      </c>
      <c r="Y32" s="2">
        <v>0.9</v>
      </c>
    </row>
    <row r="33" spans="2:25" ht="12.75">
      <c r="B33" s="172"/>
      <c r="C33" s="147" t="s">
        <v>138</v>
      </c>
      <c r="D33" s="147"/>
      <c r="E33" s="147"/>
      <c r="F33" s="147" t="s">
        <v>139</v>
      </c>
      <c r="G33" s="147"/>
      <c r="H33" s="147"/>
      <c r="I33" s="173"/>
      <c r="J33" s="7" t="s">
        <v>187</v>
      </c>
      <c r="Q33" s="141"/>
      <c r="R33" s="142">
        <v>1.9</v>
      </c>
      <c r="S33" s="143">
        <v>519</v>
      </c>
      <c r="T33" s="22">
        <v>46.3</v>
      </c>
      <c r="V33">
        <v>19</v>
      </c>
      <c r="W33" s="16">
        <v>1.9</v>
      </c>
      <c r="X33" s="2">
        <v>0.19</v>
      </c>
      <c r="Y33" s="2">
        <v>0.95</v>
      </c>
    </row>
    <row r="34" spans="2:25" ht="12.75">
      <c r="B34" s="172"/>
      <c r="C34" s="147"/>
      <c r="D34" s="147"/>
      <c r="E34" s="147"/>
      <c r="F34" s="147"/>
      <c r="G34" s="147"/>
      <c r="H34" s="147"/>
      <c r="I34" s="173"/>
      <c r="M34" s="12" t="s">
        <v>27</v>
      </c>
      <c r="N34" s="7">
        <f>VLOOKUP(M34,M14:N25,2,FALSE)</f>
        <v>6</v>
      </c>
      <c r="O34" s="5" t="s">
        <v>180</v>
      </c>
      <c r="Q34" s="141"/>
      <c r="R34" s="142">
        <v>2</v>
      </c>
      <c r="S34" s="143">
        <v>520</v>
      </c>
      <c r="T34" s="22">
        <v>45.7</v>
      </c>
      <c r="V34">
        <v>20</v>
      </c>
      <c r="W34" s="16">
        <v>2</v>
      </c>
      <c r="X34" s="2">
        <v>0.2</v>
      </c>
      <c r="Y34" s="2">
        <v>1</v>
      </c>
    </row>
    <row r="35" spans="2:25" ht="12.75">
      <c r="B35" s="172"/>
      <c r="C35" s="147" t="s">
        <v>140</v>
      </c>
      <c r="D35" s="147"/>
      <c r="E35" s="147"/>
      <c r="F35" s="147" t="s">
        <v>133</v>
      </c>
      <c r="G35" s="147"/>
      <c r="H35" s="147"/>
      <c r="I35" s="173"/>
      <c r="J35" s="2" t="s">
        <v>141</v>
      </c>
      <c r="K35" s="2">
        <f>J35/100</f>
        <v>0.2</v>
      </c>
      <c r="Q35" s="141"/>
      <c r="R35" s="142">
        <v>2.1</v>
      </c>
      <c r="S35" s="143">
        <v>521</v>
      </c>
      <c r="T35" s="22">
        <v>45.08</v>
      </c>
      <c r="V35">
        <v>21</v>
      </c>
      <c r="W35" s="16">
        <v>2.1</v>
      </c>
      <c r="X35" s="2">
        <v>0.21</v>
      </c>
      <c r="Y35" s="2">
        <v>1.05</v>
      </c>
    </row>
    <row r="36" spans="2:25" ht="13.5" thickBot="1">
      <c r="B36" s="175"/>
      <c r="C36" s="176"/>
      <c r="D36" s="176"/>
      <c r="E36" s="176"/>
      <c r="F36" s="176"/>
      <c r="G36" s="176"/>
      <c r="H36" s="176"/>
      <c r="I36" s="177"/>
      <c r="Q36" s="141"/>
      <c r="R36" s="142">
        <v>2.2</v>
      </c>
      <c r="S36" s="143">
        <v>522</v>
      </c>
      <c r="T36" s="22">
        <v>44.47</v>
      </c>
      <c r="V36">
        <v>22</v>
      </c>
      <c r="W36" s="16">
        <v>2.2</v>
      </c>
      <c r="X36" s="2">
        <v>0.22</v>
      </c>
      <c r="Y36" s="2">
        <v>1.1</v>
      </c>
    </row>
    <row r="37" spans="17:25" ht="12.75">
      <c r="Q37" s="141"/>
      <c r="R37" s="142">
        <v>2.3</v>
      </c>
      <c r="S37" s="143">
        <v>523</v>
      </c>
      <c r="T37" s="22">
        <v>44.42</v>
      </c>
      <c r="V37">
        <v>23</v>
      </c>
      <c r="W37" s="16">
        <v>2.3</v>
      </c>
      <c r="X37" s="2">
        <v>0.23</v>
      </c>
      <c r="Y37" s="2">
        <v>1.15</v>
      </c>
    </row>
    <row r="38" spans="17:25" ht="13.5" thickBot="1">
      <c r="Q38" s="141"/>
      <c r="R38" s="142">
        <v>2.4</v>
      </c>
      <c r="S38" s="143">
        <v>524</v>
      </c>
      <c r="T38" s="22">
        <v>43.98</v>
      </c>
      <c r="V38">
        <v>24</v>
      </c>
      <c r="W38" s="16">
        <v>2.4</v>
      </c>
      <c r="X38" s="2">
        <v>0.24</v>
      </c>
      <c r="Y38" s="2">
        <v>1.2</v>
      </c>
    </row>
    <row r="39" spans="2:25" ht="12.75">
      <c r="B39" s="169"/>
      <c r="C39" s="179" t="s">
        <v>97</v>
      </c>
      <c r="D39" s="170"/>
      <c r="E39" s="170"/>
      <c r="F39" s="170"/>
      <c r="G39" s="170"/>
      <c r="H39" s="170"/>
      <c r="I39" s="171"/>
      <c r="Q39" s="141"/>
      <c r="R39" s="142">
        <v>2.5</v>
      </c>
      <c r="S39" s="143">
        <v>525</v>
      </c>
      <c r="T39" s="22">
        <v>42.73</v>
      </c>
      <c r="V39">
        <v>25</v>
      </c>
      <c r="W39" s="16">
        <v>2.5</v>
      </c>
      <c r="X39" s="2">
        <v>0.25</v>
      </c>
      <c r="Y39" s="2">
        <v>1.25</v>
      </c>
    </row>
    <row r="40" spans="2:25" ht="12.75">
      <c r="B40" s="172"/>
      <c r="C40" s="178"/>
      <c r="D40" s="147"/>
      <c r="E40" s="147"/>
      <c r="F40" s="147"/>
      <c r="G40" s="147"/>
      <c r="H40" s="147"/>
      <c r="I40" s="173"/>
      <c r="Q40" s="141"/>
      <c r="R40" s="142">
        <v>2.6</v>
      </c>
      <c r="S40" s="143">
        <v>526</v>
      </c>
      <c r="T40" s="22">
        <v>42.25</v>
      </c>
      <c r="V40">
        <v>26</v>
      </c>
      <c r="W40" s="16">
        <v>2.6</v>
      </c>
      <c r="X40" s="2">
        <v>0.26</v>
      </c>
      <c r="Y40" s="2">
        <v>1.3</v>
      </c>
    </row>
    <row r="41" spans="2:25" ht="12.75">
      <c r="B41" s="172"/>
      <c r="C41" s="147"/>
      <c r="D41" s="147"/>
      <c r="E41" s="147"/>
      <c r="F41" s="147"/>
      <c r="G41" s="147"/>
      <c r="H41" s="147"/>
      <c r="I41" s="173"/>
      <c r="Q41" s="141"/>
      <c r="R41" s="142">
        <v>2.7</v>
      </c>
      <c r="S41" s="143">
        <v>527</v>
      </c>
      <c r="T41" s="22">
        <v>42.19</v>
      </c>
      <c r="V41">
        <v>27</v>
      </c>
      <c r="W41" s="16">
        <v>2.7</v>
      </c>
      <c r="X41" s="2">
        <v>0.27</v>
      </c>
      <c r="Y41" s="2">
        <v>1.35</v>
      </c>
    </row>
    <row r="42" spans="2:25" ht="12.75">
      <c r="B42" s="172"/>
      <c r="C42" s="147" t="s">
        <v>108</v>
      </c>
      <c r="D42" s="147"/>
      <c r="E42" s="147"/>
      <c r="F42" s="147" t="s">
        <v>109</v>
      </c>
      <c r="G42" s="147" t="s">
        <v>159</v>
      </c>
      <c r="H42" s="147"/>
      <c r="I42" s="173" t="s">
        <v>142</v>
      </c>
      <c r="J42" s="5" t="s">
        <v>182</v>
      </c>
      <c r="K42" t="s">
        <v>181</v>
      </c>
      <c r="M42">
        <f>ROUND(K42*J19/100,2)</f>
        <v>150</v>
      </c>
      <c r="N42" s="2">
        <f>ROUND(J42*100/J19,2)</f>
        <v>0.72</v>
      </c>
      <c r="Q42" s="141"/>
      <c r="R42" s="142">
        <v>2.8</v>
      </c>
      <c r="S42" s="143">
        <v>528</v>
      </c>
      <c r="T42" s="22">
        <v>41.78</v>
      </c>
      <c r="V42">
        <v>28</v>
      </c>
      <c r="W42" s="16">
        <v>2.8</v>
      </c>
      <c r="X42" s="2">
        <v>0.28</v>
      </c>
      <c r="Y42" s="2">
        <v>1.4</v>
      </c>
    </row>
    <row r="43" spans="2:25" ht="12.75">
      <c r="B43" s="172"/>
      <c r="C43" s="147"/>
      <c r="D43" s="147"/>
      <c r="E43" s="147"/>
      <c r="F43" s="147"/>
      <c r="G43" s="147"/>
      <c r="H43" s="147"/>
      <c r="I43" s="173"/>
      <c r="N43" s="2"/>
      <c r="Q43" s="141"/>
      <c r="R43" s="142">
        <v>2.9</v>
      </c>
      <c r="S43" s="143">
        <v>529</v>
      </c>
      <c r="T43" s="22">
        <v>40.14</v>
      </c>
      <c r="V43">
        <v>29</v>
      </c>
      <c r="W43" s="16">
        <v>2.9</v>
      </c>
      <c r="X43" s="2">
        <v>0.29</v>
      </c>
      <c r="Y43" s="2">
        <v>1.45</v>
      </c>
    </row>
    <row r="44" spans="2:25" ht="12.75">
      <c r="B44" s="172"/>
      <c r="C44" s="147" t="s">
        <v>8</v>
      </c>
      <c r="D44" s="147"/>
      <c r="E44" s="147"/>
      <c r="F44" s="147" t="s">
        <v>109</v>
      </c>
      <c r="G44" s="147" t="s">
        <v>159</v>
      </c>
      <c r="H44" s="147"/>
      <c r="I44" s="173" t="s">
        <v>142</v>
      </c>
      <c r="J44" t="s">
        <v>182</v>
      </c>
      <c r="K44" t="s">
        <v>181</v>
      </c>
      <c r="M44">
        <f>ROUND(K44*J19/100,2)</f>
        <v>150</v>
      </c>
      <c r="N44" s="2">
        <f>ROUND(J44*100/J19,2)</f>
        <v>0.72</v>
      </c>
      <c r="Q44" s="141"/>
      <c r="R44" s="142">
        <v>3</v>
      </c>
      <c r="S44" s="143">
        <v>530</v>
      </c>
      <c r="T44" s="22">
        <v>40.08</v>
      </c>
      <c r="V44">
        <v>30</v>
      </c>
      <c r="W44" s="16">
        <v>3</v>
      </c>
      <c r="X44" s="2">
        <v>0.3</v>
      </c>
      <c r="Y44" s="2">
        <v>1.5</v>
      </c>
    </row>
    <row r="45" spans="2:25" ht="12.75">
      <c r="B45" s="172"/>
      <c r="C45" s="147"/>
      <c r="D45" s="147"/>
      <c r="E45" s="147"/>
      <c r="F45" s="147"/>
      <c r="G45" s="147"/>
      <c r="H45" s="147"/>
      <c r="I45" s="173"/>
      <c r="N45" s="2"/>
      <c r="Q45" s="141"/>
      <c r="R45" s="142">
        <v>3.1</v>
      </c>
      <c r="S45" s="143">
        <v>531</v>
      </c>
      <c r="T45" s="22">
        <v>39.95</v>
      </c>
      <c r="V45">
        <v>31</v>
      </c>
      <c r="W45" s="16">
        <v>3.1</v>
      </c>
      <c r="X45" s="2">
        <v>0.31</v>
      </c>
      <c r="Y45" s="2">
        <v>1.55</v>
      </c>
    </row>
    <row r="46" spans="2:25" ht="12.75">
      <c r="B46" s="172"/>
      <c r="C46" s="147" t="s">
        <v>110</v>
      </c>
      <c r="D46" s="147"/>
      <c r="E46" s="147"/>
      <c r="F46" s="147" t="s">
        <v>109</v>
      </c>
      <c r="G46" s="147"/>
      <c r="H46" s="147"/>
      <c r="I46" s="173"/>
      <c r="J46" t="s">
        <v>190</v>
      </c>
      <c r="N46" s="2"/>
      <c r="Q46" s="141"/>
      <c r="R46" s="142">
        <v>3.2</v>
      </c>
      <c r="S46" s="143">
        <v>532</v>
      </c>
      <c r="T46" s="22">
        <v>39.69</v>
      </c>
      <c r="V46">
        <v>32</v>
      </c>
      <c r="W46" s="16">
        <v>3.2</v>
      </c>
      <c r="X46" s="2">
        <v>0.32</v>
      </c>
      <c r="Y46" s="2">
        <v>1.6</v>
      </c>
    </row>
    <row r="47" spans="2:25" ht="12.75">
      <c r="B47" s="172"/>
      <c r="C47" s="147"/>
      <c r="D47" s="147"/>
      <c r="E47" s="147"/>
      <c r="F47" s="147"/>
      <c r="G47" s="147"/>
      <c r="H47" s="147"/>
      <c r="I47" s="173"/>
      <c r="N47" s="2"/>
      <c r="Q47" s="141"/>
      <c r="R47" s="142">
        <v>3.3</v>
      </c>
      <c r="S47" s="143">
        <v>533</v>
      </c>
      <c r="T47" s="22">
        <v>38.13</v>
      </c>
      <c r="V47">
        <v>33</v>
      </c>
      <c r="W47" s="16">
        <v>3.3</v>
      </c>
      <c r="X47" s="2">
        <v>0.33</v>
      </c>
      <c r="Y47" s="2">
        <v>1.65</v>
      </c>
    </row>
    <row r="48" spans="2:25" ht="12.75">
      <c r="B48" s="172"/>
      <c r="C48" s="147" t="s">
        <v>149</v>
      </c>
      <c r="D48" s="147"/>
      <c r="E48" s="147"/>
      <c r="F48" s="147" t="s">
        <v>109</v>
      </c>
      <c r="G48" s="147" t="s">
        <v>159</v>
      </c>
      <c r="H48" s="147"/>
      <c r="I48" s="173" t="s">
        <v>142</v>
      </c>
      <c r="J48" t="s">
        <v>144</v>
      </c>
      <c r="K48" t="s">
        <v>144</v>
      </c>
      <c r="M48">
        <f>ROUND(K48*J19/100,0)</f>
        <v>0</v>
      </c>
      <c r="N48" s="2">
        <f>ROUND(J48*100/J19,2)</f>
        <v>0</v>
      </c>
      <c r="Q48" s="141"/>
      <c r="R48" s="142">
        <v>3.4</v>
      </c>
      <c r="S48" s="143">
        <v>534</v>
      </c>
      <c r="T48" s="22">
        <v>37.71</v>
      </c>
      <c r="V48">
        <v>34</v>
      </c>
      <c r="W48" s="16">
        <v>3.4</v>
      </c>
      <c r="X48" s="2">
        <v>0.34</v>
      </c>
      <c r="Y48" s="2">
        <v>1.7</v>
      </c>
    </row>
    <row r="49" spans="2:25" ht="12.75">
      <c r="B49" s="172"/>
      <c r="C49" s="147"/>
      <c r="D49" s="147"/>
      <c r="E49" s="147"/>
      <c r="F49" s="147"/>
      <c r="G49" s="147"/>
      <c r="H49" s="147"/>
      <c r="I49" s="173"/>
      <c r="Q49" s="141"/>
      <c r="R49" s="142">
        <v>3.5</v>
      </c>
      <c r="S49" s="143">
        <v>535</v>
      </c>
      <c r="T49" s="22">
        <v>37.36</v>
      </c>
      <c r="V49">
        <v>35</v>
      </c>
      <c r="W49" s="16">
        <v>3.5</v>
      </c>
      <c r="X49" s="2">
        <v>0.35</v>
      </c>
      <c r="Y49" s="2">
        <v>1.75</v>
      </c>
    </row>
    <row r="50" spans="2:25" ht="12.75">
      <c r="B50" s="172"/>
      <c r="C50" s="147" t="s">
        <v>160</v>
      </c>
      <c r="D50" s="147"/>
      <c r="E50" s="147"/>
      <c r="F50" s="147" t="s">
        <v>124</v>
      </c>
      <c r="G50" s="147"/>
      <c r="H50" s="147"/>
      <c r="I50" s="173"/>
      <c r="J50" t="s">
        <v>177</v>
      </c>
      <c r="K50" s="164">
        <f>J50/100</f>
        <v>0.008</v>
      </c>
      <c r="Q50" s="141"/>
      <c r="R50" s="142">
        <v>3.6</v>
      </c>
      <c r="S50" s="143">
        <v>536</v>
      </c>
      <c r="T50" s="22">
        <v>34.93</v>
      </c>
      <c r="V50">
        <v>36</v>
      </c>
      <c r="W50" s="16">
        <v>3.6</v>
      </c>
      <c r="X50" s="2">
        <v>0.36</v>
      </c>
      <c r="Y50" s="2">
        <v>1.8</v>
      </c>
    </row>
    <row r="51" spans="2:25" ht="13.5" thickBot="1">
      <c r="B51" s="175"/>
      <c r="C51" s="176"/>
      <c r="D51" s="176"/>
      <c r="E51" s="176"/>
      <c r="F51" s="176"/>
      <c r="G51" s="176"/>
      <c r="H51" s="176"/>
      <c r="I51" s="177"/>
      <c r="Q51" s="141"/>
      <c r="R51" s="142">
        <v>3.7</v>
      </c>
      <c r="S51" s="143">
        <v>537</v>
      </c>
      <c r="T51" s="22">
        <v>32.66</v>
      </c>
      <c r="V51">
        <v>37</v>
      </c>
      <c r="W51" s="16">
        <v>3.7</v>
      </c>
      <c r="X51" s="2">
        <v>0.37</v>
      </c>
      <c r="Y51" s="2">
        <v>1.85</v>
      </c>
    </row>
    <row r="52" spans="3:25" ht="13.5" thickBot="1">
      <c r="C52" s="42"/>
      <c r="D52" s="42"/>
      <c r="E52" s="42"/>
      <c r="F52" s="42"/>
      <c r="G52" s="42"/>
      <c r="H52" s="42"/>
      <c r="I52" s="42"/>
      <c r="Q52" s="141"/>
      <c r="R52" s="142">
        <v>3.8</v>
      </c>
      <c r="S52" s="143">
        <v>538</v>
      </c>
      <c r="T52" s="22">
        <v>30.53</v>
      </c>
      <c r="V52">
        <v>38</v>
      </c>
      <c r="W52" s="16">
        <v>3.8</v>
      </c>
      <c r="X52" s="2">
        <v>0.38</v>
      </c>
      <c r="Y52" s="2">
        <v>1.9</v>
      </c>
    </row>
    <row r="53" spans="2:25" ht="12.75">
      <c r="B53" s="169"/>
      <c r="C53" s="179" t="s">
        <v>41</v>
      </c>
      <c r="D53" s="170"/>
      <c r="E53" s="170"/>
      <c r="F53" s="170"/>
      <c r="G53" s="170"/>
      <c r="H53" s="170"/>
      <c r="I53" s="171"/>
      <c r="Q53" s="141"/>
      <c r="R53" s="142">
        <v>3.9</v>
      </c>
      <c r="S53" s="143">
        <v>539</v>
      </c>
      <c r="T53" s="22">
        <v>28.55</v>
      </c>
      <c r="V53">
        <v>39</v>
      </c>
      <c r="W53" s="16">
        <v>3.9</v>
      </c>
      <c r="X53" s="2">
        <v>0.39</v>
      </c>
      <c r="Y53" s="2">
        <v>1.95</v>
      </c>
    </row>
    <row r="54" spans="2:25" ht="12.75">
      <c r="B54" s="172"/>
      <c r="C54" s="147"/>
      <c r="D54" s="147"/>
      <c r="E54" s="147"/>
      <c r="F54" s="147"/>
      <c r="G54" s="147"/>
      <c r="H54" s="147"/>
      <c r="I54" s="173"/>
      <c r="Q54" s="141"/>
      <c r="R54" s="142">
        <v>4</v>
      </c>
      <c r="S54" s="143">
        <v>540</v>
      </c>
      <c r="T54" s="22"/>
      <c r="V54">
        <v>40</v>
      </c>
      <c r="W54" s="16">
        <v>4</v>
      </c>
      <c r="X54" s="2">
        <v>0.4</v>
      </c>
      <c r="Y54" s="2">
        <v>2</v>
      </c>
    </row>
    <row r="55" spans="2:25" ht="12.75">
      <c r="B55" s="172"/>
      <c r="C55" s="147" t="s">
        <v>118</v>
      </c>
      <c r="D55" s="147"/>
      <c r="E55" s="147"/>
      <c r="F55" s="147" t="s">
        <v>142</v>
      </c>
      <c r="G55" s="147"/>
      <c r="H55" s="147"/>
      <c r="I55" s="173"/>
      <c r="J55" t="s">
        <v>192</v>
      </c>
      <c r="M55">
        <f>M63/J19</f>
        <v>0</v>
      </c>
      <c r="N55">
        <f>M55*100</f>
        <v>0</v>
      </c>
      <c r="Q55" s="141"/>
      <c r="R55" s="142">
        <v>4.1</v>
      </c>
      <c r="S55" s="143">
        <v>541</v>
      </c>
      <c r="T55" s="22"/>
      <c r="V55">
        <v>41</v>
      </c>
      <c r="W55" s="16">
        <v>4.1</v>
      </c>
      <c r="X55" s="2">
        <v>0.41</v>
      </c>
      <c r="Y55" s="2">
        <v>2.05</v>
      </c>
    </row>
    <row r="56" spans="2:25" ht="12.75">
      <c r="B56" s="172"/>
      <c r="C56" s="147" t="s">
        <v>148</v>
      </c>
      <c r="D56" s="147"/>
      <c r="E56" s="147"/>
      <c r="F56" s="147"/>
      <c r="G56" s="147"/>
      <c r="H56" s="147"/>
      <c r="I56" s="173"/>
      <c r="Q56" s="141"/>
      <c r="R56" s="142">
        <v>4.2</v>
      </c>
      <c r="S56" s="143">
        <v>542</v>
      </c>
      <c r="T56" s="2"/>
      <c r="V56">
        <v>42</v>
      </c>
      <c r="W56" s="16">
        <v>4.2</v>
      </c>
      <c r="X56" s="2">
        <v>0.42</v>
      </c>
      <c r="Y56" s="2">
        <v>2.1</v>
      </c>
    </row>
    <row r="57" spans="2:25" ht="12.75">
      <c r="B57" s="172"/>
      <c r="C57" s="147"/>
      <c r="D57" s="147"/>
      <c r="E57" s="147"/>
      <c r="F57" s="147"/>
      <c r="G57" s="147"/>
      <c r="H57" s="147"/>
      <c r="I57" s="173"/>
      <c r="R57" s="142">
        <v>4.3</v>
      </c>
      <c r="S57" s="143">
        <v>543</v>
      </c>
      <c r="T57" s="22"/>
      <c r="V57">
        <v>43</v>
      </c>
      <c r="W57" s="16">
        <v>4.3</v>
      </c>
      <c r="X57" s="2">
        <v>0.43</v>
      </c>
      <c r="Y57" s="2">
        <v>2.15</v>
      </c>
    </row>
    <row r="58" spans="2:25" ht="12.75">
      <c r="B58" s="172"/>
      <c r="C58" s="147" t="s">
        <v>162</v>
      </c>
      <c r="D58" s="147"/>
      <c r="E58" s="147"/>
      <c r="F58" s="147" t="s">
        <v>111</v>
      </c>
      <c r="G58" s="147"/>
      <c r="H58" s="147"/>
      <c r="I58" s="173"/>
      <c r="J58" s="5" t="s">
        <v>144</v>
      </c>
      <c r="K58" s="5">
        <f>ROUND(J19*(J55+J63)/J55,0)</f>
        <v>20000</v>
      </c>
      <c r="R58" s="142">
        <v>4.4</v>
      </c>
      <c r="S58" s="143">
        <v>544</v>
      </c>
      <c r="V58">
        <v>44</v>
      </c>
      <c r="W58" s="16">
        <v>4.4</v>
      </c>
      <c r="X58" s="2">
        <v>0.44</v>
      </c>
      <c r="Y58" s="2">
        <v>2.2</v>
      </c>
    </row>
    <row r="59" spans="2:25" ht="12.75">
      <c r="B59" s="172"/>
      <c r="C59" s="147"/>
      <c r="D59" s="147"/>
      <c r="E59" s="147"/>
      <c r="F59" s="147"/>
      <c r="G59" s="147"/>
      <c r="H59" s="147"/>
      <c r="I59" s="173"/>
      <c r="R59" s="142">
        <v>4.5</v>
      </c>
      <c r="S59" s="143">
        <v>545</v>
      </c>
      <c r="V59">
        <v>45</v>
      </c>
      <c r="W59" s="16">
        <v>4.5</v>
      </c>
      <c r="X59" s="2">
        <v>0.45</v>
      </c>
      <c r="Y59" s="2">
        <v>2.25</v>
      </c>
    </row>
    <row r="60" spans="2:25" ht="12.75">
      <c r="B60" s="172"/>
      <c r="C60" s="147"/>
      <c r="D60" s="147"/>
      <c r="E60" s="147"/>
      <c r="F60" s="147"/>
      <c r="G60" s="147"/>
      <c r="H60" s="147"/>
      <c r="I60" s="173"/>
      <c r="R60" s="142">
        <v>4.6</v>
      </c>
      <c r="S60" s="143">
        <v>546</v>
      </c>
      <c r="V60">
        <v>46</v>
      </c>
      <c r="W60" s="16">
        <v>4.6</v>
      </c>
      <c r="X60" s="2">
        <v>0.46</v>
      </c>
      <c r="Y60" s="2">
        <v>2.3</v>
      </c>
    </row>
    <row r="61" spans="2:25" ht="12.75">
      <c r="B61" s="172"/>
      <c r="C61" s="147" t="s">
        <v>119</v>
      </c>
      <c r="D61" s="147"/>
      <c r="E61" s="147"/>
      <c r="F61" s="147" t="s">
        <v>142</v>
      </c>
      <c r="G61" s="147"/>
      <c r="H61" s="147"/>
      <c r="I61" s="173"/>
      <c r="J61" t="s">
        <v>144</v>
      </c>
      <c r="K61" s="3">
        <f>J61/100</f>
        <v>0</v>
      </c>
      <c r="R61" s="142">
        <v>4.7</v>
      </c>
      <c r="S61" s="143">
        <v>547</v>
      </c>
      <c r="V61">
        <v>47</v>
      </c>
      <c r="W61" s="16">
        <v>4.7</v>
      </c>
      <c r="X61" s="2">
        <v>0.47</v>
      </c>
      <c r="Y61" s="2">
        <v>2.35</v>
      </c>
    </row>
    <row r="62" spans="2:25" ht="12.75">
      <c r="B62" s="172"/>
      <c r="C62" s="147"/>
      <c r="D62" s="147"/>
      <c r="E62" s="147"/>
      <c r="F62" s="147"/>
      <c r="G62" s="147"/>
      <c r="H62" s="147"/>
      <c r="I62" s="173"/>
      <c r="K62" s="3"/>
      <c r="R62" s="142">
        <v>4.8</v>
      </c>
      <c r="S62" s="143">
        <v>548</v>
      </c>
      <c r="V62">
        <v>48</v>
      </c>
      <c r="W62" s="16">
        <v>4.8</v>
      </c>
      <c r="X62" s="2">
        <v>0.48</v>
      </c>
      <c r="Y62" s="2">
        <v>2.4</v>
      </c>
    </row>
    <row r="63" spans="2:25" ht="12.75">
      <c r="B63" s="172"/>
      <c r="C63" s="147" t="s">
        <v>117</v>
      </c>
      <c r="D63" s="147"/>
      <c r="E63" s="147"/>
      <c r="F63" s="147" t="s">
        <v>142</v>
      </c>
      <c r="G63" s="147"/>
      <c r="H63" s="147"/>
      <c r="I63" s="173"/>
      <c r="J63" t="s">
        <v>144</v>
      </c>
      <c r="K63" s="3">
        <f>J63/100</f>
        <v>0</v>
      </c>
      <c r="M63">
        <f>J58*(1-K63)</f>
        <v>0</v>
      </c>
      <c r="R63" s="142">
        <v>4.9</v>
      </c>
      <c r="S63" s="143">
        <v>549</v>
      </c>
      <c r="V63">
        <v>49</v>
      </c>
      <c r="W63" s="16">
        <v>4.9</v>
      </c>
      <c r="X63" s="2">
        <v>0.49</v>
      </c>
      <c r="Y63" s="2">
        <v>2.45</v>
      </c>
    </row>
    <row r="64" spans="2:25" ht="12.75">
      <c r="B64" s="172"/>
      <c r="C64" s="147"/>
      <c r="D64" s="147"/>
      <c r="E64" s="147"/>
      <c r="F64" s="147"/>
      <c r="G64" s="147"/>
      <c r="H64" s="147"/>
      <c r="I64" s="173"/>
      <c r="R64" s="142">
        <v>5</v>
      </c>
      <c r="S64" s="143">
        <v>550</v>
      </c>
      <c r="V64">
        <v>50</v>
      </c>
      <c r="W64" s="16">
        <v>5</v>
      </c>
      <c r="X64" s="2">
        <v>0.5</v>
      </c>
      <c r="Y64" s="2">
        <v>2.5</v>
      </c>
    </row>
    <row r="65" spans="2:25" ht="12.75">
      <c r="B65" s="172"/>
      <c r="C65" s="147" t="s">
        <v>120</v>
      </c>
      <c r="D65" s="147"/>
      <c r="E65" s="147"/>
      <c r="F65" s="147" t="s">
        <v>139</v>
      </c>
      <c r="G65" s="147"/>
      <c r="H65" s="147"/>
      <c r="I65" s="173"/>
      <c r="J65" t="s">
        <v>144</v>
      </c>
      <c r="R65" s="142">
        <v>5.1</v>
      </c>
      <c r="S65" s="143">
        <v>551</v>
      </c>
      <c r="V65">
        <v>51</v>
      </c>
      <c r="W65" s="16">
        <v>5.1</v>
      </c>
      <c r="X65" s="2">
        <v>0.51</v>
      </c>
      <c r="Y65" s="2">
        <v>2.55</v>
      </c>
    </row>
    <row r="66" spans="2:25" ht="12.75">
      <c r="B66" s="172"/>
      <c r="C66" s="147"/>
      <c r="D66" s="147"/>
      <c r="E66" s="147"/>
      <c r="F66" s="147"/>
      <c r="G66" s="147"/>
      <c r="H66" s="147"/>
      <c r="I66" s="173"/>
      <c r="R66" s="142">
        <v>5.2</v>
      </c>
      <c r="S66" s="143">
        <v>552</v>
      </c>
      <c r="V66">
        <v>52</v>
      </c>
      <c r="W66" s="16">
        <v>5.2</v>
      </c>
      <c r="X66" s="2">
        <v>0.52</v>
      </c>
      <c r="Y66" s="2">
        <v>2.6</v>
      </c>
    </row>
    <row r="67" spans="2:25" ht="12.75">
      <c r="B67" s="172"/>
      <c r="C67" s="147" t="s">
        <v>121</v>
      </c>
      <c r="D67" s="147"/>
      <c r="E67" s="147"/>
      <c r="F67" s="147" t="s">
        <v>139</v>
      </c>
      <c r="G67" s="147"/>
      <c r="H67" s="147"/>
      <c r="I67" s="173"/>
      <c r="J67" t="s">
        <v>146</v>
      </c>
      <c r="R67" s="142">
        <v>5.3</v>
      </c>
      <c r="S67" s="143">
        <v>553</v>
      </c>
      <c r="V67">
        <v>53</v>
      </c>
      <c r="W67" s="16">
        <v>5.3</v>
      </c>
      <c r="X67" s="2">
        <v>0.53</v>
      </c>
      <c r="Y67" s="2">
        <v>2.65</v>
      </c>
    </row>
    <row r="68" spans="2:25" ht="12.75">
      <c r="B68" s="172"/>
      <c r="C68" s="147"/>
      <c r="D68" s="147"/>
      <c r="E68" s="147"/>
      <c r="F68" s="147"/>
      <c r="G68" s="147"/>
      <c r="H68" s="147"/>
      <c r="I68" s="173"/>
      <c r="R68" s="142">
        <v>5.4</v>
      </c>
      <c r="S68" s="143">
        <v>554</v>
      </c>
      <c r="V68">
        <v>54</v>
      </c>
      <c r="W68" s="16">
        <v>5.4</v>
      </c>
      <c r="X68" s="2">
        <v>0.54</v>
      </c>
      <c r="Y68" s="2">
        <v>2.7</v>
      </c>
    </row>
    <row r="69" spans="2:25" ht="12.75">
      <c r="B69" s="172"/>
      <c r="C69" s="147" t="s">
        <v>143</v>
      </c>
      <c r="D69" s="147"/>
      <c r="E69" s="147"/>
      <c r="F69" s="147" t="s">
        <v>147</v>
      </c>
      <c r="G69" s="147"/>
      <c r="H69" s="147"/>
      <c r="I69" s="173"/>
      <c r="J69" t="s">
        <v>161</v>
      </c>
      <c r="K69" t="b">
        <v>0</v>
      </c>
      <c r="R69" s="142">
        <v>5.5</v>
      </c>
      <c r="S69" s="143">
        <v>555</v>
      </c>
      <c r="V69">
        <v>55</v>
      </c>
      <c r="W69" s="16">
        <v>5.5</v>
      </c>
      <c r="X69" s="2">
        <v>0.55</v>
      </c>
      <c r="Y69" s="2">
        <v>2.75</v>
      </c>
    </row>
    <row r="70" spans="2:25" ht="12.75">
      <c r="B70" s="172"/>
      <c r="C70" s="147"/>
      <c r="D70" s="147"/>
      <c r="E70" s="147"/>
      <c r="F70" s="147"/>
      <c r="G70" s="147"/>
      <c r="H70" s="147"/>
      <c r="I70" s="173"/>
      <c r="K70" t="s">
        <v>166</v>
      </c>
      <c r="L70" t="s">
        <v>167</v>
      </c>
      <c r="R70" s="142">
        <v>5.6</v>
      </c>
      <c r="S70" s="143">
        <v>556</v>
      </c>
      <c r="V70">
        <v>56</v>
      </c>
      <c r="W70" s="16">
        <v>5.6</v>
      </c>
      <c r="X70" s="2">
        <v>0.56</v>
      </c>
      <c r="Y70" s="2">
        <v>2.8</v>
      </c>
    </row>
    <row r="71" spans="2:25" ht="12.75">
      <c r="B71" s="172"/>
      <c r="C71" s="147" t="s">
        <v>165</v>
      </c>
      <c r="D71" s="147" t="s">
        <v>107</v>
      </c>
      <c r="E71" s="147"/>
      <c r="F71" s="147"/>
      <c r="G71" s="147"/>
      <c r="H71" s="147"/>
      <c r="I71" s="173"/>
      <c r="J71" s="9">
        <f>DATE(O71,N71,1)</f>
        <v>39264</v>
      </c>
      <c r="K71" s="9">
        <f>IF(J71&lt;J15,J71,J15)</f>
        <v>39234</v>
      </c>
      <c r="L71" s="9">
        <f>IF((J71+DATE(J67,0,))&lt;(J15+DATE(J33,0,0)),(J15+DATE(J33,1,-2)),(J71+DATE(J67,1,-2)))</f>
        <v>47268</v>
      </c>
      <c r="M71" t="s">
        <v>28</v>
      </c>
      <c r="N71" s="7">
        <f>VLOOKUP(M71,M14:N25,2,FALSE)</f>
        <v>7</v>
      </c>
      <c r="O71" t="s">
        <v>180</v>
      </c>
      <c r="P71" s="7">
        <f>K71</f>
        <v>39234</v>
      </c>
      <c r="R71" s="142">
        <v>5.7</v>
      </c>
      <c r="S71" s="143">
        <v>557</v>
      </c>
      <c r="V71">
        <v>57</v>
      </c>
      <c r="W71" s="16">
        <v>5.7</v>
      </c>
      <c r="X71" s="2">
        <v>0.57</v>
      </c>
      <c r="Y71" s="2">
        <v>2.85</v>
      </c>
    </row>
    <row r="72" spans="2:25" ht="12.75">
      <c r="B72" s="172"/>
      <c r="C72" s="147"/>
      <c r="D72" s="147"/>
      <c r="E72" s="147"/>
      <c r="F72" s="147"/>
      <c r="G72" s="147"/>
      <c r="H72" s="147"/>
      <c r="I72" s="173"/>
      <c r="J72" t="s">
        <v>185</v>
      </c>
      <c r="K72" s="5">
        <f>IF(L71&lt;L72,12*(YEAR(L72)-YEAR(K71))+12-(MONTH(K71)),12*(YEAR(L73)-YEAR(K71))+12-(MONTH(K71)))+1</f>
        <v>271</v>
      </c>
      <c r="L72" s="9">
        <f>DATE(YEAR(J15)+20,12,31)</f>
        <v>46752</v>
      </c>
      <c r="R72" s="142">
        <v>5.8</v>
      </c>
      <c r="S72" s="143">
        <v>558</v>
      </c>
      <c r="V72">
        <v>58</v>
      </c>
      <c r="W72" s="16">
        <v>5.8</v>
      </c>
      <c r="X72" s="2">
        <v>0.58</v>
      </c>
      <c r="Y72" s="2">
        <v>2.9</v>
      </c>
    </row>
    <row r="73" spans="2:25" ht="12.75">
      <c r="B73" s="172"/>
      <c r="C73" s="147" t="s">
        <v>122</v>
      </c>
      <c r="D73" s="147"/>
      <c r="E73" s="147"/>
      <c r="F73" s="147" t="s">
        <v>142</v>
      </c>
      <c r="G73" s="147"/>
      <c r="H73" s="147"/>
      <c r="I73" s="173"/>
      <c r="J73" t="s">
        <v>146</v>
      </c>
      <c r="K73" s="3">
        <f>J73/100</f>
        <v>0.1</v>
      </c>
      <c r="L73" s="9">
        <f>DATE(YEAR(J15)+J33,12,31)</f>
        <v>47483</v>
      </c>
      <c r="R73" s="142">
        <v>5.9</v>
      </c>
      <c r="S73" s="143">
        <v>559</v>
      </c>
      <c r="V73">
        <v>59</v>
      </c>
      <c r="W73" s="16">
        <v>5.9</v>
      </c>
      <c r="X73" s="2">
        <v>0.59</v>
      </c>
      <c r="Y73" s="2">
        <v>2.95</v>
      </c>
    </row>
    <row r="74" spans="2:25" ht="12.75">
      <c r="B74" s="172"/>
      <c r="C74" s="147"/>
      <c r="D74" s="147"/>
      <c r="E74" s="147"/>
      <c r="F74" s="147"/>
      <c r="G74" s="147"/>
      <c r="H74" s="147"/>
      <c r="I74" s="173"/>
      <c r="K74" t="s">
        <v>184</v>
      </c>
      <c r="L74" s="9">
        <f>DATE(YEAR(J15)+J33,MONTH(J15),1)</f>
        <v>47270</v>
      </c>
      <c r="R74" s="142">
        <v>6</v>
      </c>
      <c r="S74" s="143">
        <v>560</v>
      </c>
      <c r="V74">
        <v>60</v>
      </c>
      <c r="W74" s="16">
        <v>6</v>
      </c>
      <c r="X74" s="2">
        <v>0.6</v>
      </c>
      <c r="Y74" s="2">
        <v>3</v>
      </c>
    </row>
    <row r="75" spans="2:25" ht="12.75">
      <c r="B75" s="172"/>
      <c r="C75" s="147" t="s">
        <v>123</v>
      </c>
      <c r="D75" s="147"/>
      <c r="E75" s="147"/>
      <c r="F75" s="147" t="s">
        <v>142</v>
      </c>
      <c r="G75" s="147"/>
      <c r="H75" s="147"/>
      <c r="I75" s="173"/>
      <c r="J75" t="s">
        <v>193</v>
      </c>
      <c r="K75" s="3">
        <f>J75/100</f>
        <v>0.03</v>
      </c>
      <c r="R75" s="142">
        <v>6.1</v>
      </c>
      <c r="S75" s="143">
        <v>561</v>
      </c>
      <c r="V75">
        <v>61</v>
      </c>
      <c r="W75" s="16">
        <v>6.1</v>
      </c>
      <c r="X75" s="2">
        <v>0.61</v>
      </c>
      <c r="Y75" s="2">
        <v>3.05</v>
      </c>
    </row>
    <row r="76" spans="2:25" ht="13.5" thickBot="1">
      <c r="B76" s="175"/>
      <c r="C76" s="176"/>
      <c r="D76" s="176"/>
      <c r="E76" s="176"/>
      <c r="F76" s="176"/>
      <c r="G76" s="176"/>
      <c r="H76" s="176"/>
      <c r="I76" s="177"/>
      <c r="K76" t="s">
        <v>186</v>
      </c>
      <c r="L76" s="12">
        <f>12*(IF(YEAR(L74)-YEAR(J15)&lt;=20,YEAR(L74)-YEAR(J15),20))+MONTH(L74)-MONTH(J15)</f>
        <v>240</v>
      </c>
      <c r="R76" s="142">
        <v>6.2</v>
      </c>
      <c r="S76" s="143">
        <v>562</v>
      </c>
      <c r="V76">
        <v>62</v>
      </c>
      <c r="W76" s="16">
        <v>6.2</v>
      </c>
      <c r="X76" s="2">
        <v>0.62</v>
      </c>
      <c r="Y76" s="2">
        <v>3.1</v>
      </c>
    </row>
    <row r="77" spans="3:25" ht="13.5" thickBot="1">
      <c r="C77" s="42"/>
      <c r="D77" s="42"/>
      <c r="E77" s="42"/>
      <c r="F77" s="42"/>
      <c r="G77" s="42"/>
      <c r="H77" s="42"/>
      <c r="I77" s="42"/>
      <c r="R77" s="142">
        <v>6.3</v>
      </c>
      <c r="S77" s="143">
        <v>563</v>
      </c>
      <c r="V77">
        <v>63</v>
      </c>
      <c r="W77" s="16">
        <v>6.3</v>
      </c>
      <c r="X77" s="2">
        <v>0.63</v>
      </c>
      <c r="Y77" s="2">
        <v>3.15</v>
      </c>
    </row>
    <row r="78" spans="2:25" ht="12.75">
      <c r="B78" s="169"/>
      <c r="C78" s="170" t="s">
        <v>2</v>
      </c>
      <c r="D78" s="170"/>
      <c r="E78" s="170"/>
      <c r="F78" s="170"/>
      <c r="G78" s="170"/>
      <c r="H78" s="170"/>
      <c r="I78" s="171"/>
      <c r="R78" s="142">
        <v>6.4</v>
      </c>
      <c r="S78" s="143">
        <v>564</v>
      </c>
      <c r="V78">
        <v>64</v>
      </c>
      <c r="W78" s="16">
        <v>6.4</v>
      </c>
      <c r="X78" s="2">
        <v>0.64</v>
      </c>
      <c r="Y78" s="2">
        <v>3.2</v>
      </c>
    </row>
    <row r="79" spans="2:25" ht="12.75">
      <c r="B79" s="172"/>
      <c r="C79" s="147"/>
      <c r="D79" s="147"/>
      <c r="E79" s="147"/>
      <c r="F79" s="147"/>
      <c r="G79" s="147"/>
      <c r="H79" s="147"/>
      <c r="I79" s="173"/>
      <c r="R79" s="142">
        <v>6.5</v>
      </c>
      <c r="S79" s="143">
        <v>565</v>
      </c>
      <c r="V79">
        <v>65</v>
      </c>
      <c r="W79" s="16">
        <v>6.5</v>
      </c>
      <c r="X79" s="2">
        <v>0.65</v>
      </c>
      <c r="Y79" s="2">
        <v>3.25</v>
      </c>
    </row>
    <row r="80" spans="2:25" ht="12.75">
      <c r="B80" s="172"/>
      <c r="C80" s="147" t="s">
        <v>168</v>
      </c>
      <c r="D80" s="147"/>
      <c r="E80" s="147"/>
      <c r="F80" s="147" t="s">
        <v>142</v>
      </c>
      <c r="G80" s="147"/>
      <c r="H80" s="147"/>
      <c r="I80" s="173"/>
      <c r="J80" t="s">
        <v>154</v>
      </c>
      <c r="K80">
        <f>J80/100</f>
        <v>0.019</v>
      </c>
      <c r="R80" s="142">
        <v>6.6</v>
      </c>
      <c r="S80" s="143">
        <v>566</v>
      </c>
      <c r="V80">
        <v>66</v>
      </c>
      <c r="W80" s="16">
        <v>6.6</v>
      </c>
      <c r="X80" s="2">
        <v>0.66</v>
      </c>
      <c r="Y80" s="2">
        <v>3.3</v>
      </c>
    </row>
    <row r="81" spans="2:25" ht="12.75">
      <c r="B81" s="172"/>
      <c r="C81" s="147"/>
      <c r="D81" s="147"/>
      <c r="E81" s="147"/>
      <c r="F81" s="147"/>
      <c r="G81" s="147"/>
      <c r="H81" s="147"/>
      <c r="I81" s="173"/>
      <c r="R81" s="142">
        <v>6.7</v>
      </c>
      <c r="S81" s="143">
        <v>567</v>
      </c>
      <c r="V81">
        <v>67</v>
      </c>
      <c r="W81" s="16">
        <v>6.7</v>
      </c>
      <c r="X81" s="2">
        <v>0.67</v>
      </c>
      <c r="Y81" s="2">
        <v>3.35</v>
      </c>
    </row>
    <row r="82" spans="2:25" ht="12.75">
      <c r="B82" s="172"/>
      <c r="C82" s="147"/>
      <c r="D82" s="147"/>
      <c r="E82" s="147"/>
      <c r="F82" s="147"/>
      <c r="G82" s="147"/>
      <c r="H82" s="147"/>
      <c r="I82" s="173"/>
      <c r="R82" s="142">
        <v>6.8</v>
      </c>
      <c r="S82" s="143">
        <v>568</v>
      </c>
      <c r="V82">
        <v>68</v>
      </c>
      <c r="W82" s="16">
        <v>6.8</v>
      </c>
      <c r="X82" s="2">
        <v>0.68</v>
      </c>
      <c r="Y82" s="2">
        <v>3.4</v>
      </c>
    </row>
    <row r="83" spans="2:25" ht="12.75">
      <c r="B83" s="172"/>
      <c r="C83" s="147" t="s">
        <v>157</v>
      </c>
      <c r="D83" s="147"/>
      <c r="E83" s="147"/>
      <c r="F83" s="147"/>
      <c r="G83" s="147"/>
      <c r="H83" s="147"/>
      <c r="I83" s="173"/>
      <c r="R83" s="142">
        <v>6.9</v>
      </c>
      <c r="S83" s="143">
        <v>569</v>
      </c>
      <c r="V83">
        <v>69</v>
      </c>
      <c r="W83" s="16">
        <v>6.9</v>
      </c>
      <c r="X83" s="2">
        <v>0.69</v>
      </c>
      <c r="Y83" s="2">
        <v>3.45</v>
      </c>
    </row>
    <row r="84" spans="2:25" ht="12.75">
      <c r="B84" s="172"/>
      <c r="C84" s="147" t="s">
        <v>158</v>
      </c>
      <c r="D84" s="147"/>
      <c r="E84" s="147"/>
      <c r="F84" s="147" t="s">
        <v>142</v>
      </c>
      <c r="G84" s="147"/>
      <c r="H84" s="147"/>
      <c r="I84" s="173"/>
      <c r="J84" t="s">
        <v>155</v>
      </c>
      <c r="K84">
        <f>J84/100</f>
        <v>0.35</v>
      </c>
      <c r="R84" s="142">
        <v>7</v>
      </c>
      <c r="S84" s="143">
        <v>570</v>
      </c>
      <c r="V84">
        <v>70</v>
      </c>
      <c r="W84" s="16">
        <v>7</v>
      </c>
      <c r="X84" s="2">
        <v>0.7</v>
      </c>
      <c r="Y84" s="2">
        <v>3.5</v>
      </c>
    </row>
    <row r="85" spans="2:25" ht="12.75">
      <c r="B85" s="172"/>
      <c r="C85" s="147"/>
      <c r="D85" s="147"/>
      <c r="E85" s="147"/>
      <c r="F85" s="147"/>
      <c r="G85" s="147"/>
      <c r="H85" s="147"/>
      <c r="I85" s="173"/>
      <c r="R85" s="142">
        <v>7.1</v>
      </c>
      <c r="S85" s="143">
        <v>571</v>
      </c>
      <c r="V85">
        <v>71</v>
      </c>
      <c r="W85" s="16">
        <v>7.1</v>
      </c>
      <c r="X85" s="2">
        <v>0.71</v>
      </c>
      <c r="Y85" s="2">
        <v>3.55</v>
      </c>
    </row>
    <row r="86" spans="2:25" ht="12.75">
      <c r="B86" s="172"/>
      <c r="C86" s="147" t="s">
        <v>136</v>
      </c>
      <c r="D86" s="147"/>
      <c r="E86" s="147"/>
      <c r="F86" s="147" t="s">
        <v>142</v>
      </c>
      <c r="G86" s="147"/>
      <c r="H86" s="147"/>
      <c r="I86" s="173"/>
      <c r="J86" t="s">
        <v>156</v>
      </c>
      <c r="K86">
        <f>J86/100</f>
        <v>0.25</v>
      </c>
      <c r="R86" s="142">
        <v>7.2</v>
      </c>
      <c r="S86" s="143">
        <v>572</v>
      </c>
      <c r="V86">
        <v>72</v>
      </c>
      <c r="W86" s="16">
        <v>7.2</v>
      </c>
      <c r="X86" s="2">
        <v>0.72</v>
      </c>
      <c r="Y86" s="2">
        <v>3.6</v>
      </c>
    </row>
    <row r="87" spans="2:25" ht="12.75">
      <c r="B87" s="172"/>
      <c r="C87" s="147"/>
      <c r="D87" s="147"/>
      <c r="E87" s="147"/>
      <c r="F87" s="147"/>
      <c r="G87" s="147"/>
      <c r="H87" s="147"/>
      <c r="I87" s="173"/>
      <c r="R87" s="142">
        <v>7.3</v>
      </c>
      <c r="S87" s="143">
        <v>573</v>
      </c>
      <c r="V87">
        <v>73</v>
      </c>
      <c r="W87" s="16">
        <v>7.3</v>
      </c>
      <c r="X87" s="2">
        <v>0.73</v>
      </c>
      <c r="Y87" s="2">
        <v>3.65</v>
      </c>
    </row>
    <row r="88" spans="2:25" ht="12.75">
      <c r="B88" s="172"/>
      <c r="C88" s="147" t="s">
        <v>153</v>
      </c>
      <c r="D88" s="147"/>
      <c r="E88" s="147"/>
      <c r="F88" s="147"/>
      <c r="G88" s="147"/>
      <c r="H88" s="147"/>
      <c r="I88" s="173"/>
      <c r="J88" t="b">
        <v>1</v>
      </c>
      <c r="K88">
        <f>IF(J88=TRUE,1,0)</f>
        <v>1</v>
      </c>
      <c r="R88" s="142">
        <v>7.4</v>
      </c>
      <c r="S88" s="143">
        <v>574</v>
      </c>
      <c r="V88">
        <v>74</v>
      </c>
      <c r="W88" s="16">
        <v>7.4</v>
      </c>
      <c r="X88" s="2">
        <v>0.74</v>
      </c>
      <c r="Y88" s="2">
        <v>3.7</v>
      </c>
    </row>
    <row r="89" spans="2:25" ht="12.75">
      <c r="B89" s="172"/>
      <c r="C89" s="147"/>
      <c r="D89" s="147"/>
      <c r="E89" s="147"/>
      <c r="F89" s="147"/>
      <c r="G89" s="147"/>
      <c r="H89" s="147"/>
      <c r="I89" s="173"/>
      <c r="R89" s="142">
        <v>7.5</v>
      </c>
      <c r="S89" s="143">
        <v>575</v>
      </c>
      <c r="V89">
        <v>75</v>
      </c>
      <c r="W89" s="16">
        <v>7.5</v>
      </c>
      <c r="X89" s="2">
        <v>0.75</v>
      </c>
      <c r="Y89" s="2">
        <v>3.75</v>
      </c>
    </row>
    <row r="90" spans="2:25" ht="12.75">
      <c r="B90" s="172"/>
      <c r="C90" s="147"/>
      <c r="D90" s="147"/>
      <c r="E90" s="147"/>
      <c r="F90" s="147"/>
      <c r="G90" s="147"/>
      <c r="H90" s="147"/>
      <c r="I90" s="173"/>
      <c r="J90" t="b">
        <v>0</v>
      </c>
      <c r="R90" s="142">
        <v>7.6</v>
      </c>
      <c r="S90" s="143">
        <v>576</v>
      </c>
      <c r="V90">
        <v>76</v>
      </c>
      <c r="W90" s="16">
        <v>7.6</v>
      </c>
      <c r="X90" s="2">
        <v>0.76</v>
      </c>
      <c r="Y90" s="2">
        <v>3.8</v>
      </c>
    </row>
    <row r="91" spans="2:25" ht="12.75">
      <c r="B91" s="172"/>
      <c r="C91" s="147"/>
      <c r="D91" s="147"/>
      <c r="E91" s="147"/>
      <c r="F91" s="147"/>
      <c r="G91" s="147"/>
      <c r="H91" s="147"/>
      <c r="I91" s="173"/>
      <c r="K91" t="s">
        <v>174</v>
      </c>
      <c r="R91" s="142">
        <v>7.7</v>
      </c>
      <c r="S91" s="143">
        <v>577</v>
      </c>
      <c r="V91">
        <v>77</v>
      </c>
      <c r="W91" s="16">
        <v>7.7</v>
      </c>
      <c r="X91" s="2">
        <v>0.77</v>
      </c>
      <c r="Y91" s="2">
        <v>3.85</v>
      </c>
    </row>
    <row r="92" spans="2:25" ht="12.75">
      <c r="B92" s="172"/>
      <c r="C92" s="147" t="s">
        <v>164</v>
      </c>
      <c r="D92" s="147"/>
      <c r="E92" s="147"/>
      <c r="F92" s="147"/>
      <c r="G92" s="147"/>
      <c r="H92" s="147"/>
      <c r="I92" s="173"/>
      <c r="J92" t="b">
        <v>0</v>
      </c>
      <c r="K92">
        <f>IF(J92=TRUE,1,IF(J94=TRUE,3,12))</f>
        <v>3</v>
      </c>
      <c r="R92" s="142">
        <v>7.8</v>
      </c>
      <c r="S92" s="143">
        <v>578</v>
      </c>
      <c r="V92">
        <v>78</v>
      </c>
      <c r="W92" s="16">
        <v>7.8</v>
      </c>
      <c r="X92" s="2">
        <v>0.78</v>
      </c>
      <c r="Y92" s="2">
        <v>3.9</v>
      </c>
    </row>
    <row r="93" spans="2:25" ht="12.75">
      <c r="B93" s="172"/>
      <c r="C93" s="147"/>
      <c r="D93" s="147"/>
      <c r="E93" s="147"/>
      <c r="F93" s="147"/>
      <c r="G93" s="147"/>
      <c r="H93" s="147"/>
      <c r="I93" s="173"/>
      <c r="R93" s="142">
        <v>7.9</v>
      </c>
      <c r="S93" s="143">
        <v>579</v>
      </c>
      <c r="V93">
        <v>79</v>
      </c>
      <c r="W93" s="16">
        <v>7.9</v>
      </c>
      <c r="X93" s="2">
        <v>0.79</v>
      </c>
      <c r="Y93" s="2">
        <v>3.95</v>
      </c>
    </row>
    <row r="94" spans="2:25" ht="12.75">
      <c r="B94" s="172"/>
      <c r="C94" s="147"/>
      <c r="D94" s="147"/>
      <c r="E94" s="147"/>
      <c r="F94" s="147"/>
      <c r="G94" s="147"/>
      <c r="H94" s="147"/>
      <c r="I94" s="173"/>
      <c r="J94" t="b">
        <v>1</v>
      </c>
      <c r="R94" s="142">
        <v>8</v>
      </c>
      <c r="S94" s="143">
        <v>580</v>
      </c>
      <c r="V94">
        <v>80</v>
      </c>
      <c r="W94" s="16">
        <v>8</v>
      </c>
      <c r="X94" s="2">
        <v>0.8</v>
      </c>
      <c r="Y94" s="2">
        <v>4</v>
      </c>
    </row>
    <row r="95" spans="2:25" ht="12.75">
      <c r="B95" s="172"/>
      <c r="C95" s="147"/>
      <c r="D95" s="147"/>
      <c r="E95" s="147"/>
      <c r="F95" s="147"/>
      <c r="G95" s="147"/>
      <c r="H95" s="147"/>
      <c r="I95" s="173"/>
      <c r="R95" s="142">
        <v>8.1</v>
      </c>
      <c r="S95" s="143">
        <v>581</v>
      </c>
      <c r="V95">
        <v>81</v>
      </c>
      <c r="W95" s="16">
        <v>8.1</v>
      </c>
      <c r="X95" s="2">
        <v>0.81</v>
      </c>
      <c r="Y95" s="2">
        <v>4.05</v>
      </c>
    </row>
    <row r="96" spans="2:25" ht="12.75">
      <c r="B96" s="172"/>
      <c r="C96" s="180"/>
      <c r="D96" s="147"/>
      <c r="E96" s="147"/>
      <c r="F96" s="147"/>
      <c r="G96" s="147"/>
      <c r="H96" s="147"/>
      <c r="I96" s="173"/>
      <c r="J96" t="b">
        <v>0</v>
      </c>
      <c r="R96" s="142">
        <v>8.2</v>
      </c>
      <c r="S96" s="143">
        <v>582</v>
      </c>
      <c r="V96">
        <v>82</v>
      </c>
      <c r="W96" s="16">
        <v>8.2</v>
      </c>
      <c r="X96" s="2">
        <v>0.82</v>
      </c>
      <c r="Y96" s="2">
        <v>4.1</v>
      </c>
    </row>
    <row r="97" spans="2:25" ht="13.5" thickBot="1">
      <c r="B97" s="175"/>
      <c r="C97" s="181"/>
      <c r="D97" s="176"/>
      <c r="E97" s="176"/>
      <c r="F97" s="176"/>
      <c r="G97" s="176"/>
      <c r="H97" s="176"/>
      <c r="I97" s="177"/>
      <c r="R97" s="142">
        <v>8.3</v>
      </c>
      <c r="S97" s="143">
        <v>583</v>
      </c>
      <c r="V97">
        <v>83</v>
      </c>
      <c r="W97" s="16">
        <v>8.3</v>
      </c>
      <c r="X97" s="2">
        <v>0.83</v>
      </c>
      <c r="Y97" s="2">
        <v>4.15</v>
      </c>
    </row>
    <row r="98" spans="3:25" ht="12.75">
      <c r="C98" s="7"/>
      <c r="R98" s="142">
        <v>8.4</v>
      </c>
      <c r="S98" s="143">
        <v>584</v>
      </c>
      <c r="V98">
        <v>84</v>
      </c>
      <c r="W98" s="16">
        <v>8.4</v>
      </c>
      <c r="X98" s="2">
        <v>0.84</v>
      </c>
      <c r="Y98" s="2">
        <v>4.2</v>
      </c>
    </row>
    <row r="99" spans="3:25" ht="12.75">
      <c r="C99" s="7"/>
      <c r="R99" s="142">
        <v>8.5</v>
      </c>
      <c r="S99" s="143">
        <v>585</v>
      </c>
      <c r="V99">
        <v>85</v>
      </c>
      <c r="W99" s="16">
        <v>8.5</v>
      </c>
      <c r="X99" s="2">
        <v>0.85</v>
      </c>
      <c r="Y99" s="2">
        <v>4.25</v>
      </c>
    </row>
    <row r="100" spans="3:25" ht="12.75">
      <c r="C100" s="7"/>
      <c r="R100" s="142">
        <v>8.6</v>
      </c>
      <c r="S100" s="143">
        <v>586</v>
      </c>
      <c r="V100">
        <v>86</v>
      </c>
      <c r="W100" s="16">
        <v>8.6</v>
      </c>
      <c r="X100" s="2">
        <v>0.86</v>
      </c>
      <c r="Y100" s="2">
        <v>4.3</v>
      </c>
    </row>
    <row r="101" spans="3:25" ht="12.75">
      <c r="C101" s="7"/>
      <c r="R101" s="142">
        <v>8.7</v>
      </c>
      <c r="S101" s="143">
        <v>587</v>
      </c>
      <c r="V101">
        <v>87</v>
      </c>
      <c r="W101" s="16">
        <v>8.7</v>
      </c>
      <c r="X101" s="2">
        <v>0.87</v>
      </c>
      <c r="Y101" s="2">
        <v>4.35</v>
      </c>
    </row>
    <row r="102" spans="3:25" ht="12.75">
      <c r="C102" s="7"/>
      <c r="R102" s="142">
        <v>8.8</v>
      </c>
      <c r="S102" s="143">
        <v>588</v>
      </c>
      <c r="V102">
        <v>88</v>
      </c>
      <c r="W102" s="16">
        <v>8.8</v>
      </c>
      <c r="X102" s="2">
        <v>0.88</v>
      </c>
      <c r="Y102" s="2">
        <v>4.4</v>
      </c>
    </row>
    <row r="103" spans="3:25" ht="12.75">
      <c r="C103" s="7"/>
      <c r="R103" s="142">
        <v>8.9</v>
      </c>
      <c r="S103" s="143">
        <v>589</v>
      </c>
      <c r="V103">
        <v>89</v>
      </c>
      <c r="W103" s="16">
        <v>8.9</v>
      </c>
      <c r="X103" s="2">
        <v>0.89</v>
      </c>
      <c r="Y103" s="2">
        <v>4.45</v>
      </c>
    </row>
    <row r="104" spans="3:25" ht="12.75">
      <c r="C104" s="7"/>
      <c r="R104" s="142">
        <v>9</v>
      </c>
      <c r="S104" s="143">
        <v>590</v>
      </c>
      <c r="V104">
        <v>90</v>
      </c>
      <c r="W104" s="16">
        <v>9</v>
      </c>
      <c r="X104" s="2">
        <v>0.9</v>
      </c>
      <c r="Y104" s="2">
        <v>4.5</v>
      </c>
    </row>
    <row r="105" spans="3:25" ht="12.75">
      <c r="C105" s="7"/>
      <c r="R105" s="142">
        <v>9.1</v>
      </c>
      <c r="S105" s="143">
        <v>591</v>
      </c>
      <c r="V105">
        <v>91</v>
      </c>
      <c r="W105" s="16">
        <v>9.1</v>
      </c>
      <c r="X105" s="2">
        <v>0.91</v>
      </c>
      <c r="Y105" s="2">
        <v>4.55</v>
      </c>
    </row>
    <row r="106" spans="3:25" ht="12.75">
      <c r="C106" s="7"/>
      <c r="R106" s="142">
        <v>9.2</v>
      </c>
      <c r="S106" s="143">
        <v>592</v>
      </c>
      <c r="V106">
        <v>92</v>
      </c>
      <c r="W106" s="16">
        <v>9.2</v>
      </c>
      <c r="X106" s="2">
        <v>0.92</v>
      </c>
      <c r="Y106" s="2">
        <v>4.6</v>
      </c>
    </row>
    <row r="107" spans="3:25" ht="12.75">
      <c r="C107" s="7"/>
      <c r="R107" s="142">
        <v>9.3</v>
      </c>
      <c r="S107" s="143">
        <v>593</v>
      </c>
      <c r="V107">
        <v>93</v>
      </c>
      <c r="W107" s="16">
        <v>9.3</v>
      </c>
      <c r="X107" s="2">
        <v>0.93</v>
      </c>
      <c r="Y107" s="2">
        <v>4.65</v>
      </c>
    </row>
    <row r="108" spans="3:25" ht="12.75">
      <c r="C108" s="7"/>
      <c r="R108" s="142">
        <v>9.4</v>
      </c>
      <c r="S108" s="143">
        <v>594</v>
      </c>
      <c r="V108">
        <v>94</v>
      </c>
      <c r="W108" s="16">
        <v>9.4</v>
      </c>
      <c r="X108" s="2">
        <v>0.94</v>
      </c>
      <c r="Y108" s="2">
        <v>4.7</v>
      </c>
    </row>
    <row r="109" spans="3:25" ht="12.75">
      <c r="C109" s="7"/>
      <c r="R109" s="142">
        <v>9.5</v>
      </c>
      <c r="S109" s="143">
        <v>595</v>
      </c>
      <c r="V109">
        <v>95</v>
      </c>
      <c r="W109" s="16">
        <v>9.5</v>
      </c>
      <c r="X109" s="2">
        <v>0.95</v>
      </c>
      <c r="Y109" s="2">
        <v>4.75</v>
      </c>
    </row>
    <row r="110" spans="3:25" ht="12.75">
      <c r="C110" s="7"/>
      <c r="R110" s="142">
        <v>9.6</v>
      </c>
      <c r="S110" s="143">
        <v>596</v>
      </c>
      <c r="V110">
        <v>96</v>
      </c>
      <c r="W110" s="16">
        <v>9.6</v>
      </c>
      <c r="X110" s="2">
        <v>0.96</v>
      </c>
      <c r="Y110" s="2">
        <v>4.8</v>
      </c>
    </row>
    <row r="111" spans="3:25" ht="12.75">
      <c r="C111" s="7"/>
      <c r="R111" s="142">
        <v>9.7</v>
      </c>
      <c r="S111" s="143">
        <v>597</v>
      </c>
      <c r="V111">
        <v>97</v>
      </c>
      <c r="W111" s="16">
        <v>9.7</v>
      </c>
      <c r="X111" s="2">
        <v>0.97</v>
      </c>
      <c r="Y111" s="2">
        <v>4.85</v>
      </c>
    </row>
    <row r="112" spans="3:25" ht="12.75">
      <c r="C112" s="7"/>
      <c r="R112" s="142">
        <v>9.8</v>
      </c>
      <c r="S112" s="143">
        <v>598</v>
      </c>
      <c r="V112">
        <v>98</v>
      </c>
      <c r="W112" s="16">
        <v>9.8</v>
      </c>
      <c r="X112" s="2">
        <v>0.98</v>
      </c>
      <c r="Y112" s="2">
        <v>4.9</v>
      </c>
    </row>
    <row r="113" spans="3:25" ht="12.75">
      <c r="C113" s="7"/>
      <c r="R113" s="142">
        <v>9.9</v>
      </c>
      <c r="S113" s="143">
        <v>599</v>
      </c>
      <c r="V113">
        <v>99</v>
      </c>
      <c r="W113" s="16">
        <v>9.9</v>
      </c>
      <c r="X113" s="2">
        <v>0.99</v>
      </c>
      <c r="Y113" s="2">
        <v>4.95</v>
      </c>
    </row>
    <row r="114" spans="3:25" ht="12.75">
      <c r="C114" s="7"/>
      <c r="R114" s="142">
        <v>10</v>
      </c>
      <c r="S114" s="143">
        <v>600</v>
      </c>
      <c r="V114">
        <v>100</v>
      </c>
      <c r="W114" s="16">
        <v>10</v>
      </c>
      <c r="X114" s="2">
        <v>1</v>
      </c>
      <c r="Y114" s="2">
        <v>5</v>
      </c>
    </row>
    <row r="115" spans="3:25" ht="12.75">
      <c r="C115" s="7"/>
      <c r="R115" s="142">
        <v>10.1</v>
      </c>
      <c r="S115" s="143">
        <v>601</v>
      </c>
      <c r="W115" s="16">
        <v>10.1</v>
      </c>
      <c r="X115" s="2">
        <v>1.01</v>
      </c>
      <c r="Y115" s="2">
        <v>5.05</v>
      </c>
    </row>
    <row r="116" spans="3:25" ht="12.75">
      <c r="C116" s="7"/>
      <c r="R116" s="142">
        <v>10.2</v>
      </c>
      <c r="S116" s="143">
        <v>602</v>
      </c>
      <c r="W116" s="16">
        <v>10.2</v>
      </c>
      <c r="X116" s="2">
        <v>1.02</v>
      </c>
      <c r="Y116" s="2">
        <v>5.1</v>
      </c>
    </row>
    <row r="117" spans="3:25" ht="12.75">
      <c r="C117" s="7"/>
      <c r="R117" s="142">
        <v>10.3</v>
      </c>
      <c r="S117" s="143">
        <v>603</v>
      </c>
      <c r="W117" s="16">
        <v>10.3</v>
      </c>
      <c r="X117" s="2">
        <v>1.03</v>
      </c>
      <c r="Y117" s="2">
        <v>5.15</v>
      </c>
    </row>
    <row r="118" spans="3:25" ht="12.75">
      <c r="C118" s="7"/>
      <c r="R118" s="142">
        <v>10.4</v>
      </c>
      <c r="S118" s="143">
        <v>604</v>
      </c>
      <c r="W118" s="16">
        <v>10.4</v>
      </c>
      <c r="X118" s="2">
        <v>1.04</v>
      </c>
      <c r="Y118" s="2">
        <v>5.2</v>
      </c>
    </row>
    <row r="119" spans="3:25" ht="12.75">
      <c r="C119" s="7"/>
      <c r="R119" s="142">
        <v>10.5</v>
      </c>
      <c r="S119" s="143">
        <v>605</v>
      </c>
      <c r="W119" s="16">
        <v>10.5</v>
      </c>
      <c r="X119" s="2">
        <v>1.05</v>
      </c>
      <c r="Y119" s="2">
        <v>5.25</v>
      </c>
    </row>
    <row r="120" spans="3:25" ht="12.75">
      <c r="C120" s="7"/>
      <c r="R120" s="142">
        <v>10.6</v>
      </c>
      <c r="S120" s="143">
        <v>606</v>
      </c>
      <c r="W120" s="16">
        <v>10.6</v>
      </c>
      <c r="X120" s="2">
        <v>1.06</v>
      </c>
      <c r="Y120" s="2">
        <v>5.3</v>
      </c>
    </row>
    <row r="121" spans="3:25" ht="12.75">
      <c r="C121" s="7"/>
      <c r="R121" s="142">
        <v>10.7</v>
      </c>
      <c r="S121" s="143">
        <v>607</v>
      </c>
      <c r="W121" s="16">
        <v>10.7</v>
      </c>
      <c r="X121" s="2">
        <v>1.07</v>
      </c>
      <c r="Y121" s="2">
        <v>5.35</v>
      </c>
    </row>
    <row r="122" spans="3:25" ht="12.75">
      <c r="C122" s="7"/>
      <c r="R122" s="142">
        <v>10.8</v>
      </c>
      <c r="S122" s="143">
        <v>608</v>
      </c>
      <c r="W122" s="16">
        <v>10.8</v>
      </c>
      <c r="X122" s="2">
        <v>1.08</v>
      </c>
      <c r="Y122" s="2">
        <v>5.4</v>
      </c>
    </row>
    <row r="123" spans="3:25" ht="12.75">
      <c r="C123" s="7"/>
      <c r="R123" s="142">
        <v>10.9</v>
      </c>
      <c r="S123" s="143">
        <v>609</v>
      </c>
      <c r="W123" s="16">
        <v>10.9</v>
      </c>
      <c r="X123" s="2">
        <v>1.09</v>
      </c>
      <c r="Y123" s="2">
        <v>5.45</v>
      </c>
    </row>
    <row r="124" spans="3:25" ht="12.75">
      <c r="C124" s="7"/>
      <c r="R124" s="142">
        <v>11</v>
      </c>
      <c r="S124" s="143">
        <v>610</v>
      </c>
      <c r="W124" s="16">
        <v>11</v>
      </c>
      <c r="X124" s="2">
        <v>1.1</v>
      </c>
      <c r="Y124" s="2">
        <v>5.5</v>
      </c>
    </row>
    <row r="125" spans="3:25" ht="12.75">
      <c r="C125" s="7"/>
      <c r="R125" s="142">
        <v>11.1</v>
      </c>
      <c r="S125" s="143">
        <v>611</v>
      </c>
      <c r="W125" s="16">
        <v>11.1</v>
      </c>
      <c r="X125" s="2">
        <v>1.11</v>
      </c>
      <c r="Y125" s="2">
        <v>5.55</v>
      </c>
    </row>
    <row r="126" spans="3:25" ht="12.75">
      <c r="C126" s="7"/>
      <c r="R126" s="142">
        <v>11.2</v>
      </c>
      <c r="S126" s="143">
        <v>612</v>
      </c>
      <c r="W126" s="16">
        <v>11.2</v>
      </c>
      <c r="X126" s="2">
        <v>1.12</v>
      </c>
      <c r="Y126" s="2">
        <v>5.6</v>
      </c>
    </row>
    <row r="127" spans="3:25" ht="12.75">
      <c r="C127" s="7"/>
      <c r="R127" s="142">
        <v>11.3</v>
      </c>
      <c r="S127" s="143">
        <v>613</v>
      </c>
      <c r="W127" s="16">
        <v>11.3</v>
      </c>
      <c r="X127" s="2">
        <v>1.13</v>
      </c>
      <c r="Y127" s="2">
        <v>5.65</v>
      </c>
    </row>
    <row r="128" spans="3:25" ht="12.75">
      <c r="C128" s="7"/>
      <c r="R128" s="142">
        <v>11.4</v>
      </c>
      <c r="S128" s="143">
        <v>614</v>
      </c>
      <c r="W128" s="16">
        <v>11.4</v>
      </c>
      <c r="X128" s="2">
        <v>1.14</v>
      </c>
      <c r="Y128" s="2">
        <v>5.7</v>
      </c>
    </row>
    <row r="129" spans="18:25" ht="12.75">
      <c r="R129" s="142">
        <v>11.5</v>
      </c>
      <c r="S129" s="143">
        <v>615</v>
      </c>
      <c r="W129" s="16">
        <v>11.5</v>
      </c>
      <c r="X129" s="2">
        <v>1.15</v>
      </c>
      <c r="Y129" s="2">
        <v>5.75</v>
      </c>
    </row>
    <row r="130" spans="18:25" ht="12.75">
      <c r="R130" s="142">
        <v>11.6</v>
      </c>
      <c r="S130" s="143">
        <v>616</v>
      </c>
      <c r="W130" s="16">
        <v>11.6</v>
      </c>
      <c r="X130" s="2">
        <v>1.16</v>
      </c>
      <c r="Y130" s="2">
        <v>5.8</v>
      </c>
    </row>
    <row r="131" spans="18:25" ht="12.75">
      <c r="R131" s="142">
        <v>11.7</v>
      </c>
      <c r="S131" s="143">
        <v>617</v>
      </c>
      <c r="W131" s="16">
        <v>11.7</v>
      </c>
      <c r="X131" s="2">
        <v>1.17</v>
      </c>
      <c r="Y131" s="2">
        <v>5.85</v>
      </c>
    </row>
    <row r="132" spans="18:25" ht="12.75">
      <c r="R132" s="142">
        <v>11.8</v>
      </c>
      <c r="S132" s="143">
        <v>618</v>
      </c>
      <c r="W132" s="16">
        <v>11.8</v>
      </c>
      <c r="X132" s="2">
        <v>1.18</v>
      </c>
      <c r="Y132" s="2">
        <v>5.9</v>
      </c>
    </row>
    <row r="133" spans="18:25" ht="12.75">
      <c r="R133" s="142">
        <v>11.9</v>
      </c>
      <c r="S133" s="143">
        <v>619</v>
      </c>
      <c r="W133" s="16">
        <v>11.9</v>
      </c>
      <c r="X133" s="2">
        <v>1.19</v>
      </c>
      <c r="Y133" s="2">
        <v>5.95</v>
      </c>
    </row>
    <row r="134" spans="18:25" ht="12.75">
      <c r="R134" s="142">
        <v>12</v>
      </c>
      <c r="S134" s="143">
        <v>620</v>
      </c>
      <c r="W134" s="16">
        <v>12</v>
      </c>
      <c r="X134" s="2">
        <v>1.2</v>
      </c>
      <c r="Y134" s="2">
        <v>6</v>
      </c>
    </row>
    <row r="135" spans="18:25" ht="12.75">
      <c r="R135" s="142">
        <v>12.1</v>
      </c>
      <c r="S135" s="143">
        <v>621</v>
      </c>
      <c r="W135" s="16">
        <v>12.1</v>
      </c>
      <c r="X135" s="2">
        <v>1.21</v>
      </c>
      <c r="Y135" s="2">
        <v>6.05</v>
      </c>
    </row>
    <row r="136" spans="18:25" ht="12.75">
      <c r="R136" s="142">
        <v>12.2</v>
      </c>
      <c r="S136" s="143">
        <v>622</v>
      </c>
      <c r="W136" s="16">
        <v>12.2</v>
      </c>
      <c r="X136" s="2">
        <v>1.22</v>
      </c>
      <c r="Y136" s="2">
        <v>6.1</v>
      </c>
    </row>
    <row r="137" spans="18:25" ht="12.75">
      <c r="R137" s="142">
        <v>12.3</v>
      </c>
      <c r="S137" s="143">
        <v>623</v>
      </c>
      <c r="W137" s="16">
        <v>12.3</v>
      </c>
      <c r="X137" s="2">
        <v>1.23</v>
      </c>
      <c r="Y137" s="2">
        <v>6.15</v>
      </c>
    </row>
    <row r="138" spans="18:25" ht="12.75">
      <c r="R138" s="142">
        <v>12.4</v>
      </c>
      <c r="S138" s="143">
        <v>624</v>
      </c>
      <c r="W138" s="16">
        <v>12.4</v>
      </c>
      <c r="X138" s="2">
        <v>1.24</v>
      </c>
      <c r="Y138" s="2">
        <v>6.2</v>
      </c>
    </row>
    <row r="139" spans="18:25" ht="12.75">
      <c r="R139" s="142">
        <v>12.5</v>
      </c>
      <c r="S139" s="143">
        <v>625</v>
      </c>
      <c r="W139" s="16">
        <v>12.5</v>
      </c>
      <c r="X139" s="2">
        <v>1.25</v>
      </c>
      <c r="Y139" s="2">
        <v>6.25</v>
      </c>
    </row>
    <row r="140" spans="18:25" ht="12.75">
      <c r="R140" s="142">
        <v>12.6</v>
      </c>
      <c r="S140" s="143">
        <v>626</v>
      </c>
      <c r="W140" s="16">
        <v>12.6</v>
      </c>
      <c r="X140" s="2">
        <v>1.26</v>
      </c>
      <c r="Y140" s="2">
        <v>6.3</v>
      </c>
    </row>
    <row r="141" spans="18:25" ht="12.75">
      <c r="R141" s="142">
        <v>12.7</v>
      </c>
      <c r="S141" s="143">
        <v>627</v>
      </c>
      <c r="W141" s="16">
        <v>12.7</v>
      </c>
      <c r="X141" s="2">
        <v>1.27</v>
      </c>
      <c r="Y141" s="2">
        <v>6.35</v>
      </c>
    </row>
    <row r="142" spans="18:25" ht="12.75">
      <c r="R142" s="142">
        <v>12.8</v>
      </c>
      <c r="S142" s="143">
        <v>628</v>
      </c>
      <c r="W142" s="16">
        <v>12.8</v>
      </c>
      <c r="X142" s="2">
        <v>1.28</v>
      </c>
      <c r="Y142" s="2">
        <v>6.4</v>
      </c>
    </row>
    <row r="143" spans="18:25" ht="12.75">
      <c r="R143" s="142">
        <v>12.9</v>
      </c>
      <c r="S143" s="143">
        <v>629</v>
      </c>
      <c r="W143" s="16">
        <v>12.9</v>
      </c>
      <c r="X143" s="2">
        <v>1.29</v>
      </c>
      <c r="Y143" s="2">
        <v>6.45</v>
      </c>
    </row>
    <row r="144" spans="18:25" ht="12.75">
      <c r="R144" s="142">
        <v>13</v>
      </c>
      <c r="S144" s="143">
        <v>630</v>
      </c>
      <c r="W144" s="16">
        <v>13</v>
      </c>
      <c r="X144" s="2">
        <v>1.3</v>
      </c>
      <c r="Y144" s="2">
        <v>6.5</v>
      </c>
    </row>
    <row r="145" spans="18:25" ht="12.75">
      <c r="R145" s="142">
        <v>13.1</v>
      </c>
      <c r="S145" s="143">
        <v>631</v>
      </c>
      <c r="W145" s="16">
        <v>13.1</v>
      </c>
      <c r="X145" s="2">
        <v>1.31</v>
      </c>
      <c r="Y145" s="2">
        <v>6.55</v>
      </c>
    </row>
    <row r="146" spans="18:25" ht="12.75">
      <c r="R146" s="142">
        <v>13.2</v>
      </c>
      <c r="S146" s="143">
        <v>632</v>
      </c>
      <c r="W146" s="16">
        <v>13.2</v>
      </c>
      <c r="X146" s="2">
        <v>1.32</v>
      </c>
      <c r="Y146" s="2">
        <v>6.6</v>
      </c>
    </row>
    <row r="147" spans="18:25" ht="12.75">
      <c r="R147" s="142">
        <v>13.3</v>
      </c>
      <c r="S147" s="143">
        <v>633</v>
      </c>
      <c r="W147" s="16">
        <v>13.3</v>
      </c>
      <c r="X147" s="2">
        <v>1.33</v>
      </c>
      <c r="Y147" s="2">
        <v>6.65</v>
      </c>
    </row>
    <row r="148" spans="18:25" ht="12.75">
      <c r="R148" s="142">
        <v>13.4</v>
      </c>
      <c r="S148" s="143">
        <v>634</v>
      </c>
      <c r="W148" s="16">
        <v>13.4</v>
      </c>
      <c r="X148" s="2">
        <v>1.34</v>
      </c>
      <c r="Y148" s="2">
        <v>6.7</v>
      </c>
    </row>
    <row r="149" spans="18:25" ht="12.75">
      <c r="R149" s="142">
        <v>13.5</v>
      </c>
      <c r="S149" s="143">
        <v>635</v>
      </c>
      <c r="W149" s="16">
        <v>13.5</v>
      </c>
      <c r="X149" s="2">
        <v>1.35</v>
      </c>
      <c r="Y149" s="2">
        <v>6.75</v>
      </c>
    </row>
    <row r="150" spans="18:25" ht="12.75">
      <c r="R150" s="142">
        <v>13.6</v>
      </c>
      <c r="S150" s="143">
        <v>636</v>
      </c>
      <c r="W150" s="16">
        <v>13.6</v>
      </c>
      <c r="X150" s="2">
        <v>1.36</v>
      </c>
      <c r="Y150" s="2">
        <v>6.8</v>
      </c>
    </row>
    <row r="151" spans="18:25" ht="12.75">
      <c r="R151" s="142">
        <v>13.7</v>
      </c>
      <c r="S151" s="143">
        <v>637</v>
      </c>
      <c r="W151" s="16">
        <v>13.7</v>
      </c>
      <c r="X151" s="2">
        <v>1.37</v>
      </c>
      <c r="Y151" s="2">
        <v>6.85</v>
      </c>
    </row>
    <row r="152" spans="18:25" ht="12.75">
      <c r="R152" s="142">
        <v>13.8</v>
      </c>
      <c r="S152" s="143">
        <v>638</v>
      </c>
      <c r="W152" s="16">
        <v>13.8</v>
      </c>
      <c r="X152" s="2">
        <v>1.38</v>
      </c>
      <c r="Y152" s="2">
        <v>6.9</v>
      </c>
    </row>
    <row r="153" spans="18:25" ht="12.75">
      <c r="R153" s="142">
        <v>13.9</v>
      </c>
      <c r="S153" s="143">
        <v>639</v>
      </c>
      <c r="W153" s="16">
        <v>13.9</v>
      </c>
      <c r="X153" s="2">
        <v>1.39</v>
      </c>
      <c r="Y153" s="2">
        <v>6.95</v>
      </c>
    </row>
    <row r="154" spans="18:25" ht="12.75">
      <c r="R154" s="142">
        <v>14</v>
      </c>
      <c r="S154" s="143">
        <v>640</v>
      </c>
      <c r="W154" s="16">
        <v>14</v>
      </c>
      <c r="X154" s="2">
        <v>1.4</v>
      </c>
      <c r="Y154" s="2">
        <v>7</v>
      </c>
    </row>
    <row r="155" spans="18:25" ht="12.75">
      <c r="R155" s="142">
        <v>14.1</v>
      </c>
      <c r="S155" s="143">
        <v>641</v>
      </c>
      <c r="W155" s="16">
        <v>14.1</v>
      </c>
      <c r="X155" s="2">
        <v>1.41</v>
      </c>
      <c r="Y155" s="2">
        <v>7.05</v>
      </c>
    </row>
    <row r="156" spans="18:25" ht="12.75">
      <c r="R156" s="142">
        <v>14.2</v>
      </c>
      <c r="S156" s="143">
        <v>642</v>
      </c>
      <c r="W156" s="16">
        <v>14.2</v>
      </c>
      <c r="X156" s="2">
        <v>1.42</v>
      </c>
      <c r="Y156" s="2">
        <v>7.1</v>
      </c>
    </row>
    <row r="157" spans="18:25" ht="12.75">
      <c r="R157" s="142">
        <v>14.3</v>
      </c>
      <c r="S157" s="143">
        <v>643</v>
      </c>
      <c r="W157" s="16">
        <v>14.3</v>
      </c>
      <c r="X157" s="2">
        <v>1.43</v>
      </c>
      <c r="Y157" s="2">
        <v>7.15</v>
      </c>
    </row>
    <row r="158" spans="18:25" ht="12.75">
      <c r="R158" s="142">
        <v>14.4</v>
      </c>
      <c r="S158" s="143">
        <v>644</v>
      </c>
      <c r="W158" s="16">
        <v>14.4</v>
      </c>
      <c r="X158" s="2">
        <v>1.44</v>
      </c>
      <c r="Y158" s="2">
        <v>7.2</v>
      </c>
    </row>
    <row r="159" spans="18:25" ht="12.75">
      <c r="R159" s="142">
        <v>14.5</v>
      </c>
      <c r="S159" s="143">
        <v>645</v>
      </c>
      <c r="W159" s="16">
        <v>14.5</v>
      </c>
      <c r="X159" s="2">
        <v>1.45</v>
      </c>
      <c r="Y159" s="2">
        <v>7.25</v>
      </c>
    </row>
    <row r="160" spans="18:25" ht="12.75">
      <c r="R160" s="142">
        <v>14.6</v>
      </c>
      <c r="S160" s="143">
        <v>646</v>
      </c>
      <c r="W160" s="16">
        <v>14.6</v>
      </c>
      <c r="X160" s="2">
        <v>1.46</v>
      </c>
      <c r="Y160" s="2">
        <v>7.3</v>
      </c>
    </row>
    <row r="161" spans="18:25" ht="12.75">
      <c r="R161" s="142">
        <v>14.7</v>
      </c>
      <c r="S161" s="143">
        <v>647</v>
      </c>
      <c r="W161" s="16">
        <v>14.7</v>
      </c>
      <c r="X161" s="2">
        <v>1.47</v>
      </c>
      <c r="Y161" s="2">
        <v>7.35</v>
      </c>
    </row>
    <row r="162" spans="18:25" ht="12.75">
      <c r="R162" s="142">
        <v>14.8</v>
      </c>
      <c r="S162" s="143">
        <v>648</v>
      </c>
      <c r="W162" s="16">
        <v>14.8</v>
      </c>
      <c r="X162" s="2">
        <v>1.48</v>
      </c>
      <c r="Y162" s="2">
        <v>7.4</v>
      </c>
    </row>
    <row r="163" spans="18:25" ht="12.75">
      <c r="R163" s="142">
        <v>14.9</v>
      </c>
      <c r="S163" s="143">
        <v>649</v>
      </c>
      <c r="W163" s="16">
        <v>14.9</v>
      </c>
      <c r="X163" s="2">
        <v>1.49</v>
      </c>
      <c r="Y163" s="2">
        <v>7.45</v>
      </c>
    </row>
    <row r="164" spans="18:25" ht="12.75">
      <c r="R164" s="142">
        <v>15</v>
      </c>
      <c r="S164" s="143">
        <v>650</v>
      </c>
      <c r="W164" s="16">
        <v>15</v>
      </c>
      <c r="X164" s="2">
        <v>1.5</v>
      </c>
      <c r="Y164" s="2">
        <v>7.5</v>
      </c>
    </row>
    <row r="165" spans="18:25" ht="12.75">
      <c r="R165" s="142">
        <v>15.1</v>
      </c>
      <c r="S165" s="143">
        <v>651</v>
      </c>
      <c r="W165" s="16">
        <v>15.1</v>
      </c>
      <c r="X165" s="2">
        <v>1.51</v>
      </c>
      <c r="Y165" s="2">
        <v>7.55</v>
      </c>
    </row>
    <row r="166" spans="18:25" ht="12.75">
      <c r="R166" s="142">
        <v>15.2</v>
      </c>
      <c r="S166" s="143">
        <v>652</v>
      </c>
      <c r="W166" s="16">
        <v>15.2</v>
      </c>
      <c r="X166" s="2">
        <v>1.52</v>
      </c>
      <c r="Y166" s="2">
        <v>7.6</v>
      </c>
    </row>
    <row r="167" spans="18:25" ht="12.75">
      <c r="R167" s="142">
        <v>15.3</v>
      </c>
      <c r="S167" s="143">
        <v>653</v>
      </c>
      <c r="W167" s="16">
        <v>15.3</v>
      </c>
      <c r="X167" s="2">
        <v>1.53</v>
      </c>
      <c r="Y167" s="2">
        <v>7.65</v>
      </c>
    </row>
    <row r="168" spans="18:25" ht="12.75">
      <c r="R168" s="142">
        <v>15.4</v>
      </c>
      <c r="S168" s="143">
        <v>654</v>
      </c>
      <c r="W168" s="16">
        <v>15.4</v>
      </c>
      <c r="X168" s="2">
        <v>1.54</v>
      </c>
      <c r="Y168" s="2">
        <v>7.7</v>
      </c>
    </row>
    <row r="169" spans="18:25" ht="12.75">
      <c r="R169" s="142">
        <v>15.5</v>
      </c>
      <c r="S169" s="143">
        <v>655</v>
      </c>
      <c r="W169" s="16">
        <v>15.5</v>
      </c>
      <c r="X169" s="2">
        <v>1.55</v>
      </c>
      <c r="Y169" s="2">
        <v>7.75</v>
      </c>
    </row>
    <row r="170" spans="18:25" ht="12.75">
      <c r="R170" s="142">
        <v>15.6</v>
      </c>
      <c r="S170" s="143">
        <v>656</v>
      </c>
      <c r="W170" s="16">
        <v>15.6</v>
      </c>
      <c r="X170" s="2">
        <v>1.56</v>
      </c>
      <c r="Y170" s="2">
        <v>7.8</v>
      </c>
    </row>
    <row r="171" spans="18:25" ht="12.75">
      <c r="R171" s="142">
        <v>15.7</v>
      </c>
      <c r="S171" s="143">
        <v>657</v>
      </c>
      <c r="W171" s="16">
        <v>15.7</v>
      </c>
      <c r="X171" s="2">
        <v>1.57</v>
      </c>
      <c r="Y171" s="2">
        <v>7.85</v>
      </c>
    </row>
    <row r="172" spans="18:25" ht="12.75">
      <c r="R172" s="142">
        <v>15.8</v>
      </c>
      <c r="S172" s="143">
        <v>658</v>
      </c>
      <c r="W172" s="16">
        <v>15.8</v>
      </c>
      <c r="X172" s="2">
        <v>1.58</v>
      </c>
      <c r="Y172" s="2">
        <v>7.9</v>
      </c>
    </row>
    <row r="173" spans="18:25" ht="12.75">
      <c r="R173" s="142">
        <v>15.9</v>
      </c>
      <c r="S173" s="143">
        <v>659</v>
      </c>
      <c r="W173" s="16">
        <v>15.9</v>
      </c>
      <c r="X173" s="2">
        <v>1.59</v>
      </c>
      <c r="Y173" s="2">
        <v>7.95</v>
      </c>
    </row>
    <row r="174" spans="18:25" ht="12.75">
      <c r="R174" s="142">
        <v>16</v>
      </c>
      <c r="S174" s="143">
        <v>660</v>
      </c>
      <c r="W174" s="16">
        <v>16</v>
      </c>
      <c r="X174" s="2">
        <v>1.6</v>
      </c>
      <c r="Y174" s="2">
        <v>8</v>
      </c>
    </row>
    <row r="175" spans="18:25" ht="12.75">
      <c r="R175" s="142">
        <v>16.1</v>
      </c>
      <c r="S175" s="143">
        <v>661</v>
      </c>
      <c r="W175" s="16">
        <v>16.1</v>
      </c>
      <c r="X175" s="2">
        <v>1.61</v>
      </c>
      <c r="Y175" s="2">
        <v>8.05</v>
      </c>
    </row>
    <row r="176" spans="18:25" ht="12.75">
      <c r="R176" s="142">
        <v>16.2</v>
      </c>
      <c r="S176" s="143">
        <v>662</v>
      </c>
      <c r="W176" s="16">
        <v>16.2</v>
      </c>
      <c r="X176" s="2">
        <v>1.62</v>
      </c>
      <c r="Y176" s="2">
        <v>8.1</v>
      </c>
    </row>
    <row r="177" spans="18:25" ht="12.75">
      <c r="R177" s="142">
        <v>16.3</v>
      </c>
      <c r="S177" s="143">
        <v>663</v>
      </c>
      <c r="W177" s="16">
        <v>16.3</v>
      </c>
      <c r="X177" s="2">
        <v>1.63</v>
      </c>
      <c r="Y177" s="2">
        <v>8.15</v>
      </c>
    </row>
    <row r="178" spans="18:25" ht="12.75">
      <c r="R178" s="142">
        <v>16.4</v>
      </c>
      <c r="S178" s="143">
        <v>664</v>
      </c>
      <c r="W178" s="16">
        <v>16.4</v>
      </c>
      <c r="X178" s="2">
        <v>1.64</v>
      </c>
      <c r="Y178" s="2">
        <v>8.2</v>
      </c>
    </row>
    <row r="179" spans="18:25" ht="12.75">
      <c r="R179" s="142">
        <v>16.5</v>
      </c>
      <c r="S179" s="143">
        <v>665</v>
      </c>
      <c r="W179" s="16">
        <v>16.5</v>
      </c>
      <c r="X179" s="2">
        <v>1.65</v>
      </c>
      <c r="Y179" s="2">
        <v>8.25</v>
      </c>
    </row>
    <row r="180" spans="18:25" ht="12.75">
      <c r="R180" s="142">
        <v>16.6</v>
      </c>
      <c r="S180" s="143">
        <v>666</v>
      </c>
      <c r="W180" s="16">
        <v>16.6</v>
      </c>
      <c r="X180" s="2">
        <v>1.66</v>
      </c>
      <c r="Y180" s="2">
        <v>8.3</v>
      </c>
    </row>
    <row r="181" spans="18:25" ht="12.75">
      <c r="R181" s="142">
        <v>16.7</v>
      </c>
      <c r="S181" s="143">
        <v>667</v>
      </c>
      <c r="W181" s="16">
        <v>16.7</v>
      </c>
      <c r="X181" s="2">
        <v>1.67</v>
      </c>
      <c r="Y181" s="2">
        <v>8.35</v>
      </c>
    </row>
    <row r="182" spans="18:25" ht="12.75">
      <c r="R182" s="142">
        <v>16.8</v>
      </c>
      <c r="S182" s="143">
        <v>668</v>
      </c>
      <c r="W182" s="16">
        <v>16.8</v>
      </c>
      <c r="X182" s="2">
        <v>1.68</v>
      </c>
      <c r="Y182" s="2">
        <v>8.4</v>
      </c>
    </row>
    <row r="183" spans="18:25" ht="12.75">
      <c r="R183" s="142">
        <v>16.9</v>
      </c>
      <c r="S183" s="143">
        <v>669</v>
      </c>
      <c r="W183" s="16">
        <v>16.9</v>
      </c>
      <c r="X183" s="2">
        <v>1.69</v>
      </c>
      <c r="Y183" s="2">
        <v>8.45</v>
      </c>
    </row>
    <row r="184" spans="18:25" ht="12.75">
      <c r="R184" s="142">
        <v>17</v>
      </c>
      <c r="S184" s="143">
        <v>670</v>
      </c>
      <c r="W184" s="16">
        <v>17</v>
      </c>
      <c r="X184" s="2">
        <v>1.7</v>
      </c>
      <c r="Y184" s="2">
        <v>8.5</v>
      </c>
    </row>
    <row r="185" spans="18:25" ht="12.75">
      <c r="R185" s="142">
        <v>17.1</v>
      </c>
      <c r="S185" s="143">
        <v>671</v>
      </c>
      <c r="W185" s="16">
        <v>17.1</v>
      </c>
      <c r="X185" s="2">
        <v>1.71</v>
      </c>
      <c r="Y185" s="2">
        <v>8.55</v>
      </c>
    </row>
    <row r="186" spans="18:25" ht="12.75">
      <c r="R186" s="142">
        <v>17.2</v>
      </c>
      <c r="S186" s="143">
        <v>672</v>
      </c>
      <c r="W186" s="16">
        <v>17.2</v>
      </c>
      <c r="X186" s="2">
        <v>1.72</v>
      </c>
      <c r="Y186" s="2">
        <v>8.6</v>
      </c>
    </row>
    <row r="187" spans="18:25" ht="12.75">
      <c r="R187" s="142">
        <v>17.3</v>
      </c>
      <c r="S187" s="143">
        <v>673</v>
      </c>
      <c r="W187" s="16">
        <v>17.3</v>
      </c>
      <c r="X187" s="2">
        <v>1.73</v>
      </c>
      <c r="Y187" s="2">
        <v>8.65</v>
      </c>
    </row>
    <row r="188" spans="18:25" ht="12.75">
      <c r="R188" s="142">
        <v>17.4</v>
      </c>
      <c r="S188" s="143">
        <v>674</v>
      </c>
      <c r="W188" s="16">
        <v>17.4</v>
      </c>
      <c r="X188" s="2">
        <v>1.74</v>
      </c>
      <c r="Y188" s="2">
        <v>8.7</v>
      </c>
    </row>
    <row r="189" spans="18:25" ht="12.75">
      <c r="R189" s="142">
        <v>17.5</v>
      </c>
      <c r="S189" s="143">
        <v>675</v>
      </c>
      <c r="W189" s="16">
        <v>17.5</v>
      </c>
      <c r="X189" s="2">
        <v>1.75</v>
      </c>
      <c r="Y189" s="2">
        <v>8.75</v>
      </c>
    </row>
    <row r="190" spans="18:25" ht="12.75">
      <c r="R190" s="142">
        <v>17.6</v>
      </c>
      <c r="S190" s="143">
        <v>676</v>
      </c>
      <c r="W190" s="16">
        <v>17.6</v>
      </c>
      <c r="X190" s="2">
        <v>1.76</v>
      </c>
      <c r="Y190" s="2">
        <v>8.8</v>
      </c>
    </row>
    <row r="191" spans="18:25" ht="12.75">
      <c r="R191" s="142">
        <v>17.7</v>
      </c>
      <c r="S191" s="143">
        <v>677</v>
      </c>
      <c r="W191" s="16">
        <v>17.7</v>
      </c>
      <c r="X191" s="2">
        <v>1.77</v>
      </c>
      <c r="Y191" s="2">
        <v>8.85</v>
      </c>
    </row>
    <row r="192" spans="18:25" ht="12.75">
      <c r="R192" s="142">
        <v>17.8</v>
      </c>
      <c r="S192" s="143">
        <v>678</v>
      </c>
      <c r="W192" s="16">
        <v>17.8</v>
      </c>
      <c r="X192" s="2">
        <v>1.78</v>
      </c>
      <c r="Y192" s="2">
        <v>8.9</v>
      </c>
    </row>
    <row r="193" spans="18:25" ht="12.75">
      <c r="R193" s="142">
        <v>17.9</v>
      </c>
      <c r="S193" s="143">
        <v>679</v>
      </c>
      <c r="W193" s="16">
        <v>17.9</v>
      </c>
      <c r="X193" s="2">
        <v>1.79</v>
      </c>
      <c r="Y193" s="2">
        <v>8.95</v>
      </c>
    </row>
    <row r="194" spans="18:25" ht="12.75">
      <c r="R194" s="142">
        <v>18</v>
      </c>
      <c r="S194" s="143">
        <v>680</v>
      </c>
      <c r="W194" s="16">
        <v>18</v>
      </c>
      <c r="X194" s="2">
        <v>1.8</v>
      </c>
      <c r="Y194" s="2">
        <v>9</v>
      </c>
    </row>
    <row r="195" spans="18:25" ht="12.75">
      <c r="R195" s="142">
        <v>18.1</v>
      </c>
      <c r="S195" s="143">
        <v>681</v>
      </c>
      <c r="W195" s="16">
        <v>18.1</v>
      </c>
      <c r="X195" s="2">
        <v>1.81</v>
      </c>
      <c r="Y195" s="2">
        <v>9.05</v>
      </c>
    </row>
    <row r="196" spans="18:25" ht="12.75">
      <c r="R196" s="142">
        <v>18.2</v>
      </c>
      <c r="S196" s="143">
        <v>682</v>
      </c>
      <c r="W196" s="16">
        <v>18.2</v>
      </c>
      <c r="X196" s="2">
        <v>1.82</v>
      </c>
      <c r="Y196" s="2">
        <v>9.1</v>
      </c>
    </row>
    <row r="197" spans="18:25" ht="12.75">
      <c r="R197" s="142">
        <v>18.3</v>
      </c>
      <c r="S197" s="143">
        <v>683</v>
      </c>
      <c r="W197" s="16">
        <v>18.3</v>
      </c>
      <c r="X197" s="2">
        <v>1.83</v>
      </c>
      <c r="Y197" s="2">
        <v>9.15</v>
      </c>
    </row>
    <row r="198" spans="18:25" ht="12.75">
      <c r="R198" s="142">
        <v>18.4</v>
      </c>
      <c r="S198" s="143">
        <v>684</v>
      </c>
      <c r="W198" s="16">
        <v>18.4</v>
      </c>
      <c r="X198" s="2">
        <v>1.84</v>
      </c>
      <c r="Y198" s="2">
        <v>9.2</v>
      </c>
    </row>
    <row r="199" spans="18:25" ht="12.75">
      <c r="R199" s="142">
        <v>18.5</v>
      </c>
      <c r="S199" s="143">
        <v>685</v>
      </c>
      <c r="W199" s="16">
        <v>18.5</v>
      </c>
      <c r="X199" s="2">
        <v>1.85</v>
      </c>
      <c r="Y199" s="2">
        <v>9.25</v>
      </c>
    </row>
    <row r="200" spans="18:25" ht="12.75">
      <c r="R200" s="142">
        <v>18.6</v>
      </c>
      <c r="S200" s="143">
        <v>686</v>
      </c>
      <c r="W200" s="16">
        <v>18.6</v>
      </c>
      <c r="X200" s="2">
        <v>1.86</v>
      </c>
      <c r="Y200" s="2">
        <v>9.3</v>
      </c>
    </row>
    <row r="201" spans="18:25" ht="12.75">
      <c r="R201" s="142">
        <v>18.7</v>
      </c>
      <c r="S201" s="143">
        <v>687</v>
      </c>
      <c r="W201" s="16">
        <v>18.7</v>
      </c>
      <c r="X201" s="2">
        <v>1.87</v>
      </c>
      <c r="Y201" s="2">
        <v>9.35</v>
      </c>
    </row>
    <row r="202" spans="18:25" ht="12.75">
      <c r="R202" s="142">
        <v>18.8</v>
      </c>
      <c r="S202" s="143">
        <v>688</v>
      </c>
      <c r="W202" s="16">
        <v>18.8</v>
      </c>
      <c r="X202" s="2">
        <v>1.88</v>
      </c>
      <c r="Y202" s="2">
        <v>9.4</v>
      </c>
    </row>
    <row r="203" spans="18:25" ht="12.75">
      <c r="R203" s="142">
        <v>18.9</v>
      </c>
      <c r="S203" s="143">
        <v>689</v>
      </c>
      <c r="W203" s="16">
        <v>18.9</v>
      </c>
      <c r="X203" s="2">
        <v>1.89</v>
      </c>
      <c r="Y203" s="2">
        <v>9.45</v>
      </c>
    </row>
    <row r="204" spans="18:25" ht="12.75">
      <c r="R204" s="142">
        <v>19</v>
      </c>
      <c r="S204" s="143">
        <v>690</v>
      </c>
      <c r="W204" s="16">
        <v>19</v>
      </c>
      <c r="X204" s="2">
        <v>1.9</v>
      </c>
      <c r="Y204" s="2">
        <v>9.5</v>
      </c>
    </row>
    <row r="205" spans="18:25" ht="12.75">
      <c r="R205" s="142">
        <v>19.1</v>
      </c>
      <c r="S205" s="143">
        <v>691</v>
      </c>
      <c r="W205" s="16">
        <v>19.1</v>
      </c>
      <c r="X205" s="2">
        <v>1.91</v>
      </c>
      <c r="Y205" s="2">
        <v>9.55</v>
      </c>
    </row>
    <row r="206" spans="18:25" ht="12.75">
      <c r="R206" s="142">
        <v>19.2</v>
      </c>
      <c r="S206" s="143">
        <v>692</v>
      </c>
      <c r="W206" s="16">
        <v>19.2</v>
      </c>
      <c r="X206" s="2">
        <v>1.92</v>
      </c>
      <c r="Y206" s="2">
        <v>9.6</v>
      </c>
    </row>
    <row r="207" spans="18:25" ht="12.75">
      <c r="R207" s="142">
        <v>19.3</v>
      </c>
      <c r="S207" s="143">
        <v>693</v>
      </c>
      <c r="W207" s="16">
        <v>19.3</v>
      </c>
      <c r="X207" s="2">
        <v>1.93</v>
      </c>
      <c r="Y207" s="2">
        <v>9.65</v>
      </c>
    </row>
    <row r="208" spans="18:25" ht="12.75">
      <c r="R208" s="142">
        <v>19.4</v>
      </c>
      <c r="S208" s="143">
        <v>694</v>
      </c>
      <c r="W208" s="16">
        <v>19.4</v>
      </c>
      <c r="X208" s="2">
        <v>1.94</v>
      </c>
      <c r="Y208" s="2">
        <v>9.7</v>
      </c>
    </row>
    <row r="209" spans="18:25" ht="12.75">
      <c r="R209" s="142">
        <v>19.5</v>
      </c>
      <c r="S209" s="143">
        <v>695</v>
      </c>
      <c r="W209" s="16">
        <v>19.5</v>
      </c>
      <c r="X209" s="2">
        <v>1.95</v>
      </c>
      <c r="Y209" s="2">
        <v>9.75</v>
      </c>
    </row>
    <row r="210" spans="18:25" ht="12.75">
      <c r="R210" s="142">
        <v>19.6</v>
      </c>
      <c r="S210" s="143">
        <v>696</v>
      </c>
      <c r="W210" s="16">
        <v>19.6</v>
      </c>
      <c r="X210" s="2">
        <v>1.96</v>
      </c>
      <c r="Y210" s="2">
        <v>9.8</v>
      </c>
    </row>
    <row r="211" spans="18:25" ht="12.75">
      <c r="R211" s="142">
        <v>19.7</v>
      </c>
      <c r="S211" s="143">
        <v>697</v>
      </c>
      <c r="W211" s="16">
        <v>19.7</v>
      </c>
      <c r="X211" s="2">
        <v>1.97</v>
      </c>
      <c r="Y211" s="2">
        <v>9.85</v>
      </c>
    </row>
    <row r="212" spans="18:25" ht="12.75">
      <c r="R212" s="142">
        <v>19.8</v>
      </c>
      <c r="S212" s="143">
        <v>698</v>
      </c>
      <c r="W212" s="16">
        <v>19.8</v>
      </c>
      <c r="X212" s="2">
        <v>1.98</v>
      </c>
      <c r="Y212" s="2">
        <v>9.9</v>
      </c>
    </row>
    <row r="213" spans="18:25" ht="12.75">
      <c r="R213" s="142">
        <v>19.9</v>
      </c>
      <c r="S213" s="143">
        <v>699</v>
      </c>
      <c r="W213" s="16">
        <v>19.9</v>
      </c>
      <c r="X213" s="2">
        <v>1.99</v>
      </c>
      <c r="Y213" s="2">
        <v>9.95</v>
      </c>
    </row>
    <row r="214" spans="18:25" ht="12.75">
      <c r="R214" s="142">
        <v>20</v>
      </c>
      <c r="S214" s="143">
        <v>700</v>
      </c>
      <c r="W214" s="16">
        <v>20</v>
      </c>
      <c r="X214" s="2">
        <v>2</v>
      </c>
      <c r="Y214" s="2">
        <v>10</v>
      </c>
    </row>
    <row r="215" spans="18:25" ht="12.75">
      <c r="R215" s="142">
        <v>20.1</v>
      </c>
      <c r="S215" s="143">
        <v>701</v>
      </c>
      <c r="W215" s="16">
        <v>20.1</v>
      </c>
      <c r="X215" s="2">
        <v>2.01</v>
      </c>
      <c r="Y215" s="2">
        <v>10.05</v>
      </c>
    </row>
    <row r="216" spans="18:25" ht="12.75">
      <c r="R216" s="142">
        <v>20.2</v>
      </c>
      <c r="S216" s="143">
        <v>702</v>
      </c>
      <c r="W216" s="16">
        <v>20.2</v>
      </c>
      <c r="X216" s="2">
        <v>2.02</v>
      </c>
      <c r="Y216" s="2">
        <v>10.1</v>
      </c>
    </row>
    <row r="217" spans="18:25" ht="12.75">
      <c r="R217" s="142">
        <v>20.3</v>
      </c>
      <c r="S217" s="143">
        <v>703</v>
      </c>
      <c r="W217" s="16">
        <v>20.3</v>
      </c>
      <c r="X217" s="2">
        <v>2.03</v>
      </c>
      <c r="Y217" s="2">
        <v>10.15</v>
      </c>
    </row>
    <row r="218" spans="18:25" ht="12.75">
      <c r="R218" s="142">
        <v>20.4</v>
      </c>
      <c r="S218" s="143">
        <v>704</v>
      </c>
      <c r="W218" s="16">
        <v>20.4</v>
      </c>
      <c r="X218" s="2">
        <v>2.04</v>
      </c>
      <c r="Y218" s="2">
        <v>10.2</v>
      </c>
    </row>
    <row r="219" spans="18:25" ht="12.75">
      <c r="R219" s="142">
        <v>20.5</v>
      </c>
      <c r="S219" s="143">
        <v>705</v>
      </c>
      <c r="W219" s="16">
        <v>20.5</v>
      </c>
      <c r="X219" s="2">
        <v>2.05</v>
      </c>
      <c r="Y219" s="2">
        <v>10.25</v>
      </c>
    </row>
    <row r="220" spans="18:25" ht="12.75">
      <c r="R220" s="142">
        <v>20.6</v>
      </c>
      <c r="S220" s="143">
        <v>706</v>
      </c>
      <c r="W220" s="16">
        <v>20.6</v>
      </c>
      <c r="X220" s="2">
        <v>2.06</v>
      </c>
      <c r="Y220" s="2">
        <v>10.3</v>
      </c>
    </row>
    <row r="221" spans="18:25" ht="12.75">
      <c r="R221" s="142">
        <v>20.7</v>
      </c>
      <c r="S221" s="143">
        <v>707</v>
      </c>
      <c r="W221" s="16">
        <v>20.7</v>
      </c>
      <c r="X221" s="2">
        <v>2.07</v>
      </c>
      <c r="Y221" s="2">
        <v>10.35</v>
      </c>
    </row>
    <row r="222" spans="18:25" ht="12.75">
      <c r="R222" s="142">
        <v>20.8</v>
      </c>
      <c r="S222" s="143">
        <v>708</v>
      </c>
      <c r="W222" s="16">
        <v>20.8</v>
      </c>
      <c r="X222" s="2">
        <v>2.08</v>
      </c>
      <c r="Y222" s="2">
        <v>10.4</v>
      </c>
    </row>
    <row r="223" spans="18:25" ht="12.75">
      <c r="R223" s="142">
        <v>20.9</v>
      </c>
      <c r="S223" s="143">
        <v>709</v>
      </c>
      <c r="W223" s="16">
        <v>20.9</v>
      </c>
      <c r="X223" s="2">
        <v>2.09</v>
      </c>
      <c r="Y223" s="2">
        <v>10.45</v>
      </c>
    </row>
    <row r="224" spans="18:25" ht="12.75">
      <c r="R224" s="142">
        <v>21</v>
      </c>
      <c r="S224" s="143">
        <v>710</v>
      </c>
      <c r="W224" s="16">
        <v>21</v>
      </c>
      <c r="X224" s="2">
        <v>2.1</v>
      </c>
      <c r="Y224" s="2">
        <v>10.5</v>
      </c>
    </row>
    <row r="225" spans="18:25" ht="12.75">
      <c r="R225" s="142">
        <v>21.1</v>
      </c>
      <c r="S225" s="143">
        <v>711</v>
      </c>
      <c r="W225" s="16">
        <v>21.1</v>
      </c>
      <c r="X225" s="2">
        <v>2.11</v>
      </c>
      <c r="Y225" s="2">
        <v>10.55</v>
      </c>
    </row>
    <row r="226" spans="18:25" ht="12.75">
      <c r="R226" s="142">
        <v>21.2</v>
      </c>
      <c r="S226" s="143">
        <v>712</v>
      </c>
      <c r="W226" s="16">
        <v>21.2</v>
      </c>
      <c r="X226" s="2">
        <v>2.12</v>
      </c>
      <c r="Y226" s="2">
        <v>10.6</v>
      </c>
    </row>
    <row r="227" spans="18:25" ht="12.75">
      <c r="R227" s="142">
        <v>21.3</v>
      </c>
      <c r="S227" s="143">
        <v>713</v>
      </c>
      <c r="W227" s="16">
        <v>21.3</v>
      </c>
      <c r="X227" s="2">
        <v>2.13</v>
      </c>
      <c r="Y227" s="2">
        <v>10.65</v>
      </c>
    </row>
    <row r="228" spans="18:25" ht="12.75">
      <c r="R228" s="142">
        <v>21.4</v>
      </c>
      <c r="S228" s="143">
        <v>714</v>
      </c>
      <c r="W228" s="16">
        <v>21.4</v>
      </c>
      <c r="X228" s="2">
        <v>2.14</v>
      </c>
      <c r="Y228" s="2">
        <v>10.7</v>
      </c>
    </row>
    <row r="229" spans="18:25" ht="12.75">
      <c r="R229" s="142">
        <v>21.5</v>
      </c>
      <c r="S229" s="143">
        <v>715</v>
      </c>
      <c r="W229" s="16">
        <v>21.5</v>
      </c>
      <c r="X229" s="2">
        <v>2.15</v>
      </c>
      <c r="Y229" s="2">
        <v>10.75</v>
      </c>
    </row>
    <row r="230" spans="18:25" ht="12.75">
      <c r="R230" s="142">
        <v>21.6</v>
      </c>
      <c r="S230" s="143">
        <v>716</v>
      </c>
      <c r="W230" s="16">
        <v>21.6</v>
      </c>
      <c r="X230" s="2">
        <v>2.16</v>
      </c>
      <c r="Y230" s="2">
        <v>10.8</v>
      </c>
    </row>
    <row r="231" spans="18:25" ht="12.75">
      <c r="R231" s="142">
        <v>21.7</v>
      </c>
      <c r="S231" s="143">
        <v>717</v>
      </c>
      <c r="W231" s="16">
        <v>21.7</v>
      </c>
      <c r="X231" s="2">
        <v>2.17</v>
      </c>
      <c r="Y231" s="2">
        <v>10.85</v>
      </c>
    </row>
    <row r="232" spans="18:25" ht="12.75">
      <c r="R232" s="142">
        <v>21.8</v>
      </c>
      <c r="S232" s="143">
        <v>718</v>
      </c>
      <c r="W232" s="16">
        <v>21.8</v>
      </c>
      <c r="X232" s="2">
        <v>2.18</v>
      </c>
      <c r="Y232" s="2">
        <v>10.9</v>
      </c>
    </row>
    <row r="233" spans="18:25" ht="12.75">
      <c r="R233" s="142">
        <v>21.9</v>
      </c>
      <c r="S233" s="143">
        <v>719</v>
      </c>
      <c r="W233" s="16">
        <v>21.9</v>
      </c>
      <c r="X233" s="2">
        <v>2.19</v>
      </c>
      <c r="Y233" s="2">
        <v>10.95</v>
      </c>
    </row>
    <row r="234" spans="18:25" ht="12.75">
      <c r="R234" s="142">
        <v>22</v>
      </c>
      <c r="S234" s="143">
        <v>720</v>
      </c>
      <c r="W234" s="16">
        <v>22</v>
      </c>
      <c r="X234" s="2">
        <v>2.2</v>
      </c>
      <c r="Y234" s="2">
        <v>11</v>
      </c>
    </row>
    <row r="235" spans="18:25" ht="12.75">
      <c r="R235" s="142">
        <v>22.1</v>
      </c>
      <c r="S235" s="143">
        <v>721</v>
      </c>
      <c r="W235" s="16">
        <v>22.1</v>
      </c>
      <c r="X235" s="2">
        <v>2.21</v>
      </c>
      <c r="Y235" s="2">
        <v>11.05</v>
      </c>
    </row>
    <row r="236" spans="18:25" ht="12.75">
      <c r="R236" s="142">
        <v>22.2</v>
      </c>
      <c r="S236" s="143">
        <v>722</v>
      </c>
      <c r="W236" s="16">
        <v>22.2</v>
      </c>
      <c r="X236" s="2">
        <v>2.22</v>
      </c>
      <c r="Y236" s="2">
        <v>11.1</v>
      </c>
    </row>
    <row r="237" spans="18:25" ht="12.75">
      <c r="R237" s="142">
        <v>22.3</v>
      </c>
      <c r="S237" s="143">
        <v>723</v>
      </c>
      <c r="W237" s="16">
        <v>22.3</v>
      </c>
      <c r="X237" s="2">
        <v>2.23</v>
      </c>
      <c r="Y237" s="2">
        <v>11.15</v>
      </c>
    </row>
    <row r="238" spans="18:25" ht="12.75">
      <c r="R238" s="142">
        <v>22.4</v>
      </c>
      <c r="S238" s="143">
        <v>724</v>
      </c>
      <c r="W238" s="16">
        <v>22.4</v>
      </c>
      <c r="X238" s="2">
        <v>2.24</v>
      </c>
      <c r="Y238" s="2">
        <v>11.2</v>
      </c>
    </row>
    <row r="239" spans="18:25" ht="12.75">
      <c r="R239" s="142">
        <v>22.5</v>
      </c>
      <c r="S239" s="143">
        <v>725</v>
      </c>
      <c r="W239" s="16">
        <v>22.5</v>
      </c>
      <c r="X239" s="2">
        <v>2.25</v>
      </c>
      <c r="Y239" s="2">
        <v>11.25</v>
      </c>
    </row>
    <row r="240" spans="18:25" ht="12.75">
      <c r="R240" s="142">
        <v>22.6</v>
      </c>
      <c r="S240" s="143">
        <v>726</v>
      </c>
      <c r="W240" s="16">
        <v>22.6</v>
      </c>
      <c r="X240" s="2">
        <v>2.26</v>
      </c>
      <c r="Y240" s="2">
        <v>11.3</v>
      </c>
    </row>
    <row r="241" spans="18:25" ht="12.75">
      <c r="R241" s="142">
        <v>22.7</v>
      </c>
      <c r="S241" s="143">
        <v>727</v>
      </c>
      <c r="W241" s="16">
        <v>22.7</v>
      </c>
      <c r="X241" s="2">
        <v>2.27</v>
      </c>
      <c r="Y241" s="2">
        <v>11.35</v>
      </c>
    </row>
    <row r="242" spans="18:25" ht="12.75">
      <c r="R242" s="142">
        <v>22.8</v>
      </c>
      <c r="S242" s="143">
        <v>728</v>
      </c>
      <c r="W242" s="16">
        <v>22.8</v>
      </c>
      <c r="X242" s="2">
        <v>2.28</v>
      </c>
      <c r="Y242" s="2">
        <v>11.4</v>
      </c>
    </row>
    <row r="243" spans="18:25" ht="12.75">
      <c r="R243" s="142">
        <v>22.9</v>
      </c>
      <c r="S243" s="143">
        <v>729</v>
      </c>
      <c r="W243" s="16">
        <v>22.9</v>
      </c>
      <c r="X243" s="2">
        <v>2.29</v>
      </c>
      <c r="Y243" s="2">
        <v>11.45</v>
      </c>
    </row>
    <row r="244" spans="18:25" ht="12.75">
      <c r="R244" s="142">
        <v>23</v>
      </c>
      <c r="S244" s="143">
        <v>730</v>
      </c>
      <c r="W244" s="16">
        <v>23</v>
      </c>
      <c r="X244" s="2">
        <v>2.3</v>
      </c>
      <c r="Y244" s="2">
        <v>11.5</v>
      </c>
    </row>
    <row r="245" spans="18:25" ht="12.75">
      <c r="R245" s="142">
        <v>23.1</v>
      </c>
      <c r="S245" s="143">
        <v>731</v>
      </c>
      <c r="W245" s="16">
        <v>23.1</v>
      </c>
      <c r="X245" s="2">
        <v>2.31</v>
      </c>
      <c r="Y245" s="2">
        <v>11.55</v>
      </c>
    </row>
    <row r="246" spans="18:25" ht="12.75">
      <c r="R246" s="142">
        <v>23.2</v>
      </c>
      <c r="S246" s="143">
        <v>732</v>
      </c>
      <c r="W246" s="16">
        <v>23.2</v>
      </c>
      <c r="X246" s="2">
        <v>2.32</v>
      </c>
      <c r="Y246" s="2">
        <v>11.6</v>
      </c>
    </row>
    <row r="247" spans="18:25" ht="12.75">
      <c r="R247" s="142">
        <v>23.3</v>
      </c>
      <c r="S247" s="143">
        <v>733</v>
      </c>
      <c r="W247" s="16">
        <v>23.3</v>
      </c>
      <c r="X247" s="2">
        <v>2.33</v>
      </c>
      <c r="Y247" s="2">
        <v>11.65</v>
      </c>
    </row>
    <row r="248" spans="18:25" ht="12.75">
      <c r="R248" s="142">
        <v>23.4</v>
      </c>
      <c r="S248" s="143">
        <v>734</v>
      </c>
      <c r="W248" s="16">
        <v>23.4</v>
      </c>
      <c r="X248" s="2">
        <v>2.34</v>
      </c>
      <c r="Y248" s="2">
        <v>11.7</v>
      </c>
    </row>
    <row r="249" spans="18:25" ht="12.75">
      <c r="R249" s="142">
        <v>23.5</v>
      </c>
      <c r="S249" s="143">
        <v>735</v>
      </c>
      <c r="W249" s="16">
        <v>23.5</v>
      </c>
      <c r="X249" s="2">
        <v>2.35</v>
      </c>
      <c r="Y249" s="2">
        <v>11.75</v>
      </c>
    </row>
    <row r="250" spans="18:25" ht="12.75">
      <c r="R250" s="142">
        <v>23.6</v>
      </c>
      <c r="S250" s="143">
        <v>736</v>
      </c>
      <c r="W250" s="16">
        <v>23.6</v>
      </c>
      <c r="X250" s="2">
        <v>2.36</v>
      </c>
      <c r="Y250" s="2">
        <v>11.8</v>
      </c>
    </row>
    <row r="251" spans="18:25" ht="12.75">
      <c r="R251" s="142">
        <v>23.7</v>
      </c>
      <c r="S251" s="143">
        <v>737</v>
      </c>
      <c r="W251" s="16">
        <v>23.7</v>
      </c>
      <c r="X251" s="2">
        <v>2.37</v>
      </c>
      <c r="Y251" s="2">
        <v>11.85</v>
      </c>
    </row>
    <row r="252" spans="18:25" ht="12.75">
      <c r="R252" s="142">
        <v>23.8</v>
      </c>
      <c r="S252" s="143">
        <v>738</v>
      </c>
      <c r="W252" s="16">
        <v>23.8</v>
      </c>
      <c r="X252" s="2">
        <v>2.38</v>
      </c>
      <c r="Y252" s="2">
        <v>11.9</v>
      </c>
    </row>
    <row r="253" spans="18:25" ht="12.75">
      <c r="R253" s="142">
        <v>23.9</v>
      </c>
      <c r="S253" s="143">
        <v>739</v>
      </c>
      <c r="W253" s="16">
        <v>23.9</v>
      </c>
      <c r="X253" s="2">
        <v>2.39</v>
      </c>
      <c r="Y253" s="2">
        <v>11.95</v>
      </c>
    </row>
    <row r="254" spans="18:25" ht="12.75">
      <c r="R254" s="142">
        <v>24</v>
      </c>
      <c r="S254" s="143">
        <v>740</v>
      </c>
      <c r="W254" s="16">
        <v>24</v>
      </c>
      <c r="X254" s="2">
        <v>2.4</v>
      </c>
      <c r="Y254" s="2">
        <v>12</v>
      </c>
    </row>
    <row r="255" spans="18:25" ht="12.75">
      <c r="R255" s="142">
        <v>24.1</v>
      </c>
      <c r="S255" s="143">
        <v>741</v>
      </c>
      <c r="W255" s="16">
        <v>24.1</v>
      </c>
      <c r="X255" s="2">
        <v>2.41</v>
      </c>
      <c r="Y255" s="2">
        <v>12.05</v>
      </c>
    </row>
    <row r="256" spans="18:25" ht="12.75">
      <c r="R256" s="142">
        <v>24.2</v>
      </c>
      <c r="S256" s="143">
        <v>742</v>
      </c>
      <c r="W256" s="16">
        <v>24.2</v>
      </c>
      <c r="X256" s="2">
        <v>2.42</v>
      </c>
      <c r="Y256" s="2">
        <v>12.1</v>
      </c>
    </row>
    <row r="257" spans="18:25" ht="12.75">
      <c r="R257" s="142">
        <v>24.3</v>
      </c>
      <c r="S257" s="143">
        <v>743</v>
      </c>
      <c r="W257" s="16">
        <v>24.3</v>
      </c>
      <c r="X257" s="2">
        <v>2.43</v>
      </c>
      <c r="Y257" s="2">
        <v>12.15</v>
      </c>
    </row>
    <row r="258" spans="18:25" ht="12.75">
      <c r="R258" s="142">
        <v>24.4</v>
      </c>
      <c r="S258" s="143">
        <v>744</v>
      </c>
      <c r="W258" s="16">
        <v>24.4</v>
      </c>
      <c r="X258" s="2">
        <v>2.44</v>
      </c>
      <c r="Y258" s="2">
        <v>12.2</v>
      </c>
    </row>
    <row r="259" spans="18:25" ht="12.75">
      <c r="R259" s="142">
        <v>24.5</v>
      </c>
      <c r="S259" s="143">
        <v>745</v>
      </c>
      <c r="W259" s="16">
        <v>24.5</v>
      </c>
      <c r="X259" s="2">
        <v>2.45</v>
      </c>
      <c r="Y259" s="2">
        <v>12.25</v>
      </c>
    </row>
    <row r="260" spans="18:25" ht="12.75">
      <c r="R260" s="142">
        <v>24.6</v>
      </c>
      <c r="S260" s="143">
        <v>746</v>
      </c>
      <c r="W260" s="16">
        <v>24.6</v>
      </c>
      <c r="X260" s="2">
        <v>2.46</v>
      </c>
      <c r="Y260" s="2">
        <v>12.3</v>
      </c>
    </row>
    <row r="261" spans="18:25" ht="12.75">
      <c r="R261" s="142">
        <v>24.7</v>
      </c>
      <c r="S261" s="143">
        <v>747</v>
      </c>
      <c r="W261" s="16">
        <v>24.7</v>
      </c>
      <c r="X261" s="2">
        <v>2.47</v>
      </c>
      <c r="Y261" s="2">
        <v>12.35</v>
      </c>
    </row>
    <row r="262" spans="18:25" ht="12.75">
      <c r="R262" s="142">
        <v>24.8</v>
      </c>
      <c r="S262" s="143">
        <v>748</v>
      </c>
      <c r="W262" s="16">
        <v>24.8</v>
      </c>
      <c r="X262" s="2">
        <v>2.48</v>
      </c>
      <c r="Y262" s="2">
        <v>12.4</v>
      </c>
    </row>
    <row r="263" spans="18:25" ht="12.75">
      <c r="R263" s="142">
        <v>24.9</v>
      </c>
      <c r="S263" s="143">
        <v>749</v>
      </c>
      <c r="W263" s="16">
        <v>24.9</v>
      </c>
      <c r="X263" s="2">
        <v>2.49</v>
      </c>
      <c r="Y263" s="2">
        <v>12.45</v>
      </c>
    </row>
    <row r="264" spans="18:25" ht="12.75">
      <c r="R264" s="142">
        <v>25</v>
      </c>
      <c r="S264" s="143">
        <v>750</v>
      </c>
      <c r="W264" s="16">
        <v>25</v>
      </c>
      <c r="X264" s="2">
        <v>2.5</v>
      </c>
      <c r="Y264" s="2">
        <v>12.5</v>
      </c>
    </row>
    <row r="265" spans="18:25" ht="12.75">
      <c r="R265" s="142">
        <v>25.1</v>
      </c>
      <c r="S265" s="143">
        <v>751</v>
      </c>
      <c r="W265" s="16">
        <v>25.1</v>
      </c>
      <c r="X265" s="2">
        <v>2.51</v>
      </c>
      <c r="Y265" s="2">
        <v>12.55</v>
      </c>
    </row>
    <row r="266" spans="18:25" ht="12.75">
      <c r="R266" s="142">
        <v>25.2</v>
      </c>
      <c r="S266" s="143">
        <v>752</v>
      </c>
      <c r="W266" s="16">
        <v>25.2</v>
      </c>
      <c r="X266" s="2">
        <v>2.52</v>
      </c>
      <c r="Y266" s="2">
        <v>12.6</v>
      </c>
    </row>
    <row r="267" spans="18:25" ht="12.75">
      <c r="R267" s="142">
        <v>25.3</v>
      </c>
      <c r="S267" s="143">
        <v>753</v>
      </c>
      <c r="W267" s="16">
        <v>25.3</v>
      </c>
      <c r="X267" s="2">
        <v>2.53</v>
      </c>
      <c r="Y267" s="2">
        <v>12.65</v>
      </c>
    </row>
    <row r="268" spans="18:25" ht="12.75">
      <c r="R268" s="142">
        <v>25.4</v>
      </c>
      <c r="S268" s="143">
        <v>754</v>
      </c>
      <c r="W268" s="16">
        <v>25.4</v>
      </c>
      <c r="X268" s="2">
        <v>2.54</v>
      </c>
      <c r="Y268" s="2">
        <v>12.7</v>
      </c>
    </row>
    <row r="269" spans="18:25" ht="12.75">
      <c r="R269" s="142">
        <v>25.5</v>
      </c>
      <c r="S269" s="143">
        <v>755</v>
      </c>
      <c r="W269" s="16">
        <v>25.5</v>
      </c>
      <c r="X269" s="2">
        <v>2.55</v>
      </c>
      <c r="Y269" s="2">
        <v>12.75</v>
      </c>
    </row>
    <row r="270" spans="18:25" ht="12.75">
      <c r="R270" s="142">
        <v>25.6</v>
      </c>
      <c r="S270" s="143">
        <v>756</v>
      </c>
      <c r="W270" s="16">
        <v>25.6</v>
      </c>
      <c r="X270" s="2">
        <v>2.56</v>
      </c>
      <c r="Y270" s="2">
        <v>12.8</v>
      </c>
    </row>
    <row r="271" spans="18:25" ht="12.75">
      <c r="R271" s="142">
        <v>25.7</v>
      </c>
      <c r="S271" s="143">
        <v>757</v>
      </c>
      <c r="W271" s="16">
        <v>25.7</v>
      </c>
      <c r="X271" s="2">
        <v>2.57</v>
      </c>
      <c r="Y271" s="2">
        <v>12.85</v>
      </c>
    </row>
    <row r="272" spans="18:25" ht="12.75">
      <c r="R272" s="142">
        <v>25.8</v>
      </c>
      <c r="S272" s="143">
        <v>758</v>
      </c>
      <c r="W272" s="16">
        <v>25.8</v>
      </c>
      <c r="X272" s="2">
        <v>2.58</v>
      </c>
      <c r="Y272" s="2">
        <v>12.9</v>
      </c>
    </row>
    <row r="273" spans="18:25" ht="12.75">
      <c r="R273" s="142">
        <v>25.9</v>
      </c>
      <c r="S273" s="143">
        <v>759</v>
      </c>
      <c r="W273" s="16">
        <v>25.9</v>
      </c>
      <c r="X273" s="2">
        <v>2.59</v>
      </c>
      <c r="Y273" s="2">
        <v>12.95</v>
      </c>
    </row>
    <row r="274" spans="18:25" ht="12.75">
      <c r="R274" s="142">
        <v>26</v>
      </c>
      <c r="S274" s="143">
        <v>760</v>
      </c>
      <c r="W274" s="16">
        <v>26</v>
      </c>
      <c r="X274" s="2">
        <v>2.6</v>
      </c>
      <c r="Y274" s="2">
        <v>13</v>
      </c>
    </row>
    <row r="275" spans="18:25" ht="12.75">
      <c r="R275" s="142">
        <v>26.1</v>
      </c>
      <c r="S275" s="143">
        <v>761</v>
      </c>
      <c r="W275" s="16">
        <v>26.1</v>
      </c>
      <c r="X275" s="2">
        <v>2.61</v>
      </c>
      <c r="Y275" s="2">
        <v>13.05</v>
      </c>
    </row>
    <row r="276" spans="18:25" ht="12.75">
      <c r="R276" s="142">
        <v>26.2</v>
      </c>
      <c r="S276" s="143">
        <v>762</v>
      </c>
      <c r="W276" s="16">
        <v>26.2</v>
      </c>
      <c r="X276" s="2">
        <v>2.62</v>
      </c>
      <c r="Y276" s="2">
        <v>13.1</v>
      </c>
    </row>
    <row r="277" spans="18:25" ht="12.75">
      <c r="R277" s="142">
        <v>26.3</v>
      </c>
      <c r="S277" s="143">
        <v>763</v>
      </c>
      <c r="W277" s="16">
        <v>26.3</v>
      </c>
      <c r="X277" s="2">
        <v>2.63</v>
      </c>
      <c r="Y277" s="2">
        <v>13.15</v>
      </c>
    </row>
    <row r="278" spans="18:25" ht="12.75">
      <c r="R278" s="142">
        <v>26.4</v>
      </c>
      <c r="S278" s="143">
        <v>764</v>
      </c>
      <c r="W278" s="16">
        <v>26.4</v>
      </c>
      <c r="X278" s="2">
        <v>2.64</v>
      </c>
      <c r="Y278" s="2">
        <v>13.2</v>
      </c>
    </row>
    <row r="279" spans="18:25" ht="12.75">
      <c r="R279" s="142">
        <v>26.5</v>
      </c>
      <c r="S279" s="143">
        <v>765</v>
      </c>
      <c r="W279" s="16">
        <v>26.5</v>
      </c>
      <c r="X279" s="2">
        <v>2.65</v>
      </c>
      <c r="Y279" s="2">
        <v>13.25</v>
      </c>
    </row>
    <row r="280" spans="18:25" ht="12.75">
      <c r="R280" s="142">
        <v>26.6</v>
      </c>
      <c r="S280" s="143">
        <v>766</v>
      </c>
      <c r="W280" s="16">
        <v>26.6</v>
      </c>
      <c r="X280" s="2">
        <v>2.66</v>
      </c>
      <c r="Y280" s="2">
        <v>13.3</v>
      </c>
    </row>
    <row r="281" spans="18:25" ht="12.75">
      <c r="R281" s="142">
        <v>26.7</v>
      </c>
      <c r="S281" s="143">
        <v>767</v>
      </c>
      <c r="W281" s="16">
        <v>26.7</v>
      </c>
      <c r="X281" s="2">
        <v>2.67</v>
      </c>
      <c r="Y281" s="2">
        <v>13.35</v>
      </c>
    </row>
    <row r="282" spans="18:25" ht="12.75">
      <c r="R282" s="142">
        <v>26.8</v>
      </c>
      <c r="S282" s="143">
        <v>768</v>
      </c>
      <c r="W282" s="16">
        <v>26.8</v>
      </c>
      <c r="X282" s="2">
        <v>2.68</v>
      </c>
      <c r="Y282" s="2">
        <v>13.4</v>
      </c>
    </row>
    <row r="283" spans="18:25" ht="12.75">
      <c r="R283" s="142">
        <v>26.9</v>
      </c>
      <c r="S283" s="143">
        <v>769</v>
      </c>
      <c r="W283" s="16">
        <v>26.9</v>
      </c>
      <c r="X283" s="2">
        <v>2.69</v>
      </c>
      <c r="Y283" s="2">
        <v>13.45</v>
      </c>
    </row>
    <row r="284" spans="18:25" ht="12.75">
      <c r="R284" s="142">
        <v>27</v>
      </c>
      <c r="S284" s="143">
        <v>770</v>
      </c>
      <c r="W284" s="16">
        <v>27</v>
      </c>
      <c r="X284" s="2">
        <v>2.7</v>
      </c>
      <c r="Y284" s="2">
        <v>13.5</v>
      </c>
    </row>
    <row r="285" spans="18:25" ht="12.75">
      <c r="R285" s="142">
        <v>27.1</v>
      </c>
      <c r="S285" s="143">
        <v>771</v>
      </c>
      <c r="W285" s="16">
        <v>27.1</v>
      </c>
      <c r="X285" s="2">
        <v>2.71</v>
      </c>
      <c r="Y285" s="2">
        <v>13.55</v>
      </c>
    </row>
    <row r="286" spans="18:25" ht="12.75">
      <c r="R286" s="142">
        <v>27.2</v>
      </c>
      <c r="S286" s="143">
        <v>772</v>
      </c>
      <c r="W286" s="16">
        <v>27.2</v>
      </c>
      <c r="X286" s="2">
        <v>2.72</v>
      </c>
      <c r="Y286" s="2">
        <v>13.6</v>
      </c>
    </row>
    <row r="287" spans="18:25" ht="12.75">
      <c r="R287" s="142">
        <v>27.3</v>
      </c>
      <c r="S287" s="143">
        <v>773</v>
      </c>
      <c r="W287" s="16">
        <v>27.3</v>
      </c>
      <c r="X287" s="2">
        <v>2.73</v>
      </c>
      <c r="Y287" s="2">
        <v>13.65</v>
      </c>
    </row>
    <row r="288" spans="18:25" ht="12.75">
      <c r="R288" s="142">
        <v>27.4</v>
      </c>
      <c r="S288" s="143">
        <v>774</v>
      </c>
      <c r="W288" s="16">
        <v>27.4</v>
      </c>
      <c r="X288" s="2">
        <v>2.74</v>
      </c>
      <c r="Y288" s="2">
        <v>13.7</v>
      </c>
    </row>
    <row r="289" spans="18:25" ht="12.75">
      <c r="R289" s="142">
        <v>27.5</v>
      </c>
      <c r="S289" s="143">
        <v>775</v>
      </c>
      <c r="W289" s="16">
        <v>27.5</v>
      </c>
      <c r="X289" s="2">
        <v>2.75</v>
      </c>
      <c r="Y289" s="2">
        <v>13.75</v>
      </c>
    </row>
    <row r="290" spans="18:25" ht="12.75">
      <c r="R290" s="142">
        <v>27.6</v>
      </c>
      <c r="S290" s="143">
        <v>776</v>
      </c>
      <c r="W290" s="16">
        <v>27.6</v>
      </c>
      <c r="X290" s="2">
        <v>2.76</v>
      </c>
      <c r="Y290" s="2">
        <v>13.8</v>
      </c>
    </row>
    <row r="291" spans="18:25" ht="12.75">
      <c r="R291" s="142">
        <v>27.7</v>
      </c>
      <c r="S291" s="143">
        <v>777</v>
      </c>
      <c r="W291" s="16">
        <v>27.7</v>
      </c>
      <c r="X291" s="2">
        <v>2.77</v>
      </c>
      <c r="Y291" s="2">
        <v>13.85</v>
      </c>
    </row>
    <row r="292" spans="18:25" ht="12.75">
      <c r="R292" s="142">
        <v>27.8</v>
      </c>
      <c r="S292" s="143">
        <v>778</v>
      </c>
      <c r="W292" s="16">
        <v>27.8</v>
      </c>
      <c r="X292" s="2">
        <v>2.78</v>
      </c>
      <c r="Y292" s="2">
        <v>13.9</v>
      </c>
    </row>
    <row r="293" spans="18:25" ht="12.75">
      <c r="R293" s="142">
        <v>27.9</v>
      </c>
      <c r="S293" s="143">
        <v>779</v>
      </c>
      <c r="W293" s="16">
        <v>27.9</v>
      </c>
      <c r="X293" s="2">
        <v>2.79</v>
      </c>
      <c r="Y293" s="2">
        <v>13.95</v>
      </c>
    </row>
    <row r="294" spans="18:25" ht="12.75">
      <c r="R294" s="142">
        <v>28</v>
      </c>
      <c r="S294" s="143">
        <v>780</v>
      </c>
      <c r="W294" s="16">
        <v>28</v>
      </c>
      <c r="X294" s="2">
        <v>2.8</v>
      </c>
      <c r="Y294" s="2">
        <v>14</v>
      </c>
    </row>
    <row r="295" spans="18:25" ht="12.75">
      <c r="R295" s="142">
        <v>28.1</v>
      </c>
      <c r="S295" s="143">
        <v>781</v>
      </c>
      <c r="W295" s="16">
        <v>28.1</v>
      </c>
      <c r="X295" s="2">
        <v>2.81</v>
      </c>
      <c r="Y295" s="2">
        <v>14.05</v>
      </c>
    </row>
    <row r="296" spans="18:25" ht="12.75">
      <c r="R296" s="142">
        <v>28.2</v>
      </c>
      <c r="S296" s="143">
        <v>782</v>
      </c>
      <c r="W296" s="16">
        <v>28.2</v>
      </c>
      <c r="X296" s="2">
        <v>2.82</v>
      </c>
      <c r="Y296" s="2">
        <v>14.1</v>
      </c>
    </row>
    <row r="297" spans="18:25" ht="12.75">
      <c r="R297" s="142">
        <v>28.3</v>
      </c>
      <c r="S297" s="143">
        <v>783</v>
      </c>
      <c r="W297" s="16">
        <v>28.3</v>
      </c>
      <c r="X297" s="2">
        <v>2.83</v>
      </c>
      <c r="Y297" s="2">
        <v>14.15</v>
      </c>
    </row>
    <row r="298" spans="18:25" ht="12.75">
      <c r="R298" s="142">
        <v>28.4</v>
      </c>
      <c r="S298" s="143">
        <v>784</v>
      </c>
      <c r="W298" s="16">
        <v>28.4</v>
      </c>
      <c r="X298" s="2">
        <v>2.84</v>
      </c>
      <c r="Y298" s="2">
        <v>14.2</v>
      </c>
    </row>
    <row r="299" spans="18:25" ht="12.75">
      <c r="R299" s="142">
        <v>28.5</v>
      </c>
      <c r="S299" s="143">
        <v>785</v>
      </c>
      <c r="W299" s="16">
        <v>28.5</v>
      </c>
      <c r="X299" s="2">
        <v>2.85</v>
      </c>
      <c r="Y299" s="2">
        <v>14.25</v>
      </c>
    </row>
    <row r="300" spans="18:25" ht="12.75">
      <c r="R300" s="142">
        <v>28.6</v>
      </c>
      <c r="S300" s="143">
        <v>786</v>
      </c>
      <c r="W300" s="16">
        <v>28.6</v>
      </c>
      <c r="X300" s="2">
        <v>2.86</v>
      </c>
      <c r="Y300" s="2">
        <v>14.3</v>
      </c>
    </row>
    <row r="301" spans="18:25" ht="12.75">
      <c r="R301" s="142">
        <v>28.7</v>
      </c>
      <c r="S301" s="143">
        <v>787</v>
      </c>
      <c r="W301" s="16">
        <v>28.7</v>
      </c>
      <c r="X301" s="2">
        <v>2.87</v>
      </c>
      <c r="Y301" s="2">
        <v>14.35</v>
      </c>
    </row>
    <row r="302" spans="18:25" ht="12.75">
      <c r="R302" s="142">
        <v>28.8</v>
      </c>
      <c r="S302" s="143">
        <v>788</v>
      </c>
      <c r="W302" s="16">
        <v>28.8</v>
      </c>
      <c r="X302" s="2">
        <v>2.88</v>
      </c>
      <c r="Y302" s="2">
        <v>14.4</v>
      </c>
    </row>
    <row r="303" spans="18:25" ht="12.75">
      <c r="R303" s="142">
        <v>28.9</v>
      </c>
      <c r="S303" s="143">
        <v>789</v>
      </c>
      <c r="W303" s="16">
        <v>28.9</v>
      </c>
      <c r="X303" s="2">
        <v>2.89</v>
      </c>
      <c r="Y303" s="2">
        <v>14.45</v>
      </c>
    </row>
    <row r="304" spans="18:25" ht="12.75">
      <c r="R304" s="142">
        <v>29</v>
      </c>
      <c r="S304" s="143">
        <v>790</v>
      </c>
      <c r="W304" s="16">
        <v>29</v>
      </c>
      <c r="X304" s="2">
        <v>2.9</v>
      </c>
      <c r="Y304" s="2">
        <v>14.5</v>
      </c>
    </row>
    <row r="305" spans="18:25" ht="12.75">
      <c r="R305" s="142">
        <v>29.1</v>
      </c>
      <c r="S305" s="143">
        <v>791</v>
      </c>
      <c r="W305" s="16">
        <v>29.1</v>
      </c>
      <c r="X305" s="2">
        <v>2.91</v>
      </c>
      <c r="Y305" s="2">
        <v>14.55</v>
      </c>
    </row>
    <row r="306" spans="18:25" ht="12.75">
      <c r="R306" s="142">
        <v>29.2</v>
      </c>
      <c r="S306" s="143">
        <v>792</v>
      </c>
      <c r="W306" s="16">
        <v>29.2</v>
      </c>
      <c r="X306" s="2">
        <v>2.92</v>
      </c>
      <c r="Y306" s="2">
        <v>14.6</v>
      </c>
    </row>
    <row r="307" spans="18:25" ht="12.75">
      <c r="R307" s="142">
        <v>29.3</v>
      </c>
      <c r="S307" s="143">
        <v>793</v>
      </c>
      <c r="W307" s="16">
        <v>29.3</v>
      </c>
      <c r="X307" s="2">
        <v>2.93</v>
      </c>
      <c r="Y307" s="2">
        <v>14.65</v>
      </c>
    </row>
    <row r="308" spans="18:25" ht="12.75">
      <c r="R308" s="142">
        <v>29.4</v>
      </c>
      <c r="S308" s="143">
        <v>794</v>
      </c>
      <c r="W308" s="16">
        <v>29.4</v>
      </c>
      <c r="X308" s="2">
        <v>2.94</v>
      </c>
      <c r="Y308" s="2">
        <v>14.7</v>
      </c>
    </row>
    <row r="309" spans="18:25" ht="12.75">
      <c r="R309" s="142">
        <v>29.5</v>
      </c>
      <c r="S309" s="143">
        <v>795</v>
      </c>
      <c r="W309" s="16">
        <v>29.5</v>
      </c>
      <c r="X309" s="2">
        <v>2.95</v>
      </c>
      <c r="Y309" s="2">
        <v>14.75</v>
      </c>
    </row>
    <row r="310" spans="18:25" ht="12.75">
      <c r="R310" s="142">
        <v>29.6</v>
      </c>
      <c r="S310" s="143">
        <v>796</v>
      </c>
      <c r="W310" s="16">
        <v>29.6</v>
      </c>
      <c r="X310" s="2">
        <v>2.96</v>
      </c>
      <c r="Y310" s="2">
        <v>14.8</v>
      </c>
    </row>
    <row r="311" spans="18:25" ht="12.75">
      <c r="R311" s="142">
        <v>29.7</v>
      </c>
      <c r="S311" s="143">
        <v>797</v>
      </c>
      <c r="W311" s="16">
        <v>29.7</v>
      </c>
      <c r="X311" s="2">
        <v>2.97</v>
      </c>
      <c r="Y311" s="2">
        <v>14.85</v>
      </c>
    </row>
    <row r="312" spans="18:25" ht="12.75">
      <c r="R312" s="142">
        <v>29.8</v>
      </c>
      <c r="S312" s="143">
        <v>798</v>
      </c>
      <c r="W312" s="16">
        <v>29.8</v>
      </c>
      <c r="X312" s="2">
        <v>2.98</v>
      </c>
      <c r="Y312" s="2">
        <v>14.9</v>
      </c>
    </row>
    <row r="313" spans="18:25" ht="12.75">
      <c r="R313" s="142">
        <v>29.9</v>
      </c>
      <c r="S313" s="143">
        <v>799</v>
      </c>
      <c r="W313" s="16">
        <v>29.9</v>
      </c>
      <c r="X313" s="2">
        <v>2.99</v>
      </c>
      <c r="Y313" s="2">
        <v>14.95</v>
      </c>
    </row>
    <row r="314" spans="18:25" ht="12.75">
      <c r="R314" s="142">
        <v>30</v>
      </c>
      <c r="S314" s="143">
        <v>800</v>
      </c>
      <c r="W314" s="16">
        <v>30</v>
      </c>
      <c r="X314" s="2">
        <v>3</v>
      </c>
      <c r="Y314" s="2">
        <v>15</v>
      </c>
    </row>
    <row r="315" spans="18:25" ht="12.75">
      <c r="R315" s="142">
        <v>30.1</v>
      </c>
      <c r="S315" s="143">
        <v>801</v>
      </c>
      <c r="W315" s="16">
        <v>30.1</v>
      </c>
      <c r="X315" s="2">
        <v>3.01</v>
      </c>
      <c r="Y315" s="2">
        <v>15.05</v>
      </c>
    </row>
    <row r="316" spans="18:25" ht="12.75">
      <c r="R316" s="142">
        <v>30.2</v>
      </c>
      <c r="S316" s="143">
        <v>802</v>
      </c>
      <c r="W316" s="16">
        <v>30.2</v>
      </c>
      <c r="X316" s="2">
        <v>3.02</v>
      </c>
      <c r="Y316" s="2">
        <v>15.1</v>
      </c>
    </row>
    <row r="317" spans="18:25" ht="12.75">
      <c r="R317" s="142">
        <v>30.3</v>
      </c>
      <c r="S317" s="143">
        <v>803</v>
      </c>
      <c r="W317" s="16">
        <v>30.3</v>
      </c>
      <c r="X317" s="2">
        <v>3.03</v>
      </c>
      <c r="Y317" s="2">
        <v>15.15</v>
      </c>
    </row>
    <row r="318" spans="18:25" ht="12.75">
      <c r="R318" s="142">
        <v>30.4</v>
      </c>
      <c r="S318" s="143">
        <v>804</v>
      </c>
      <c r="W318" s="16">
        <v>30.4</v>
      </c>
      <c r="X318" s="2">
        <v>3.04</v>
      </c>
      <c r="Y318" s="2">
        <v>15.2</v>
      </c>
    </row>
    <row r="319" spans="18:25" ht="12.75">
      <c r="R319" s="142">
        <v>30.5</v>
      </c>
      <c r="S319" s="143">
        <v>805</v>
      </c>
      <c r="W319" s="16">
        <v>30.5</v>
      </c>
      <c r="X319" s="2">
        <v>3.05</v>
      </c>
      <c r="Y319" s="2">
        <v>15.25</v>
      </c>
    </row>
    <row r="320" spans="18:25" ht="12.75">
      <c r="R320" s="142">
        <v>30.6</v>
      </c>
      <c r="S320" s="143">
        <v>806</v>
      </c>
      <c r="W320" s="16">
        <v>30.6</v>
      </c>
      <c r="X320" s="2">
        <v>3.06</v>
      </c>
      <c r="Y320" s="2">
        <v>15.3</v>
      </c>
    </row>
    <row r="321" spans="18:25" ht="12.75">
      <c r="R321" s="142">
        <v>30.7</v>
      </c>
      <c r="S321" s="143">
        <v>807</v>
      </c>
      <c r="W321" s="16">
        <v>30.7</v>
      </c>
      <c r="X321" s="2">
        <v>3.07</v>
      </c>
      <c r="Y321" s="2">
        <v>15.35</v>
      </c>
    </row>
    <row r="322" spans="18:25" ht="12.75">
      <c r="R322" s="142">
        <v>30.8</v>
      </c>
      <c r="S322" s="143">
        <v>808</v>
      </c>
      <c r="W322" s="16">
        <v>30.8</v>
      </c>
      <c r="X322" s="2">
        <v>3.08</v>
      </c>
      <c r="Y322" s="2">
        <v>15.4</v>
      </c>
    </row>
    <row r="323" spans="18:25" ht="12.75">
      <c r="R323" s="142">
        <v>30.9</v>
      </c>
      <c r="S323" s="143">
        <v>809</v>
      </c>
      <c r="W323" s="16">
        <v>30.9</v>
      </c>
      <c r="X323" s="2">
        <v>3.09</v>
      </c>
      <c r="Y323" s="2">
        <v>15.45</v>
      </c>
    </row>
    <row r="324" spans="18:25" ht="12.75">
      <c r="R324" s="142">
        <v>31</v>
      </c>
      <c r="S324" s="143">
        <v>810</v>
      </c>
      <c r="W324" s="16">
        <v>31</v>
      </c>
      <c r="X324" s="2">
        <v>3.1</v>
      </c>
      <c r="Y324" s="2">
        <v>15.5</v>
      </c>
    </row>
    <row r="325" spans="18:25" ht="12.75">
      <c r="R325" s="142">
        <v>31.1</v>
      </c>
      <c r="S325" s="143">
        <v>811</v>
      </c>
      <c r="W325" s="16">
        <v>31.1</v>
      </c>
      <c r="X325" s="2">
        <v>3.11</v>
      </c>
      <c r="Y325" s="2">
        <v>15.55</v>
      </c>
    </row>
    <row r="326" spans="18:25" ht="12.75">
      <c r="R326" s="142">
        <v>31.2</v>
      </c>
      <c r="S326" s="143">
        <v>812</v>
      </c>
      <c r="W326" s="16">
        <v>31.2</v>
      </c>
      <c r="X326" s="2">
        <v>3.12</v>
      </c>
      <c r="Y326" s="2">
        <v>15.6</v>
      </c>
    </row>
    <row r="327" spans="18:25" ht="12.75">
      <c r="R327" s="142">
        <v>31.3</v>
      </c>
      <c r="S327" s="143">
        <v>813</v>
      </c>
      <c r="W327" s="16">
        <v>31.3</v>
      </c>
      <c r="X327" s="2">
        <v>3.13</v>
      </c>
      <c r="Y327" s="2">
        <v>15.65</v>
      </c>
    </row>
    <row r="328" spans="18:25" ht="12.75">
      <c r="R328" s="142">
        <v>31.4</v>
      </c>
      <c r="S328" s="143">
        <v>814</v>
      </c>
      <c r="W328" s="16">
        <v>31.4</v>
      </c>
      <c r="X328" s="2">
        <v>3.14</v>
      </c>
      <c r="Y328" s="2">
        <v>15.7</v>
      </c>
    </row>
    <row r="329" spans="18:25" ht="12.75">
      <c r="R329" s="142">
        <v>31.5</v>
      </c>
      <c r="S329" s="143">
        <v>815</v>
      </c>
      <c r="W329" s="16">
        <v>31.5</v>
      </c>
      <c r="X329" s="2">
        <v>3.15</v>
      </c>
      <c r="Y329" s="2">
        <v>15.75</v>
      </c>
    </row>
    <row r="330" spans="18:25" ht="12.75">
      <c r="R330" s="142">
        <v>31.6</v>
      </c>
      <c r="S330" s="143">
        <v>816</v>
      </c>
      <c r="W330" s="16">
        <v>31.6</v>
      </c>
      <c r="X330" s="2">
        <v>3.16</v>
      </c>
      <c r="Y330" s="2">
        <v>15.8</v>
      </c>
    </row>
    <row r="331" spans="18:25" ht="12.75">
      <c r="R331" s="142">
        <v>31.7</v>
      </c>
      <c r="S331" s="143">
        <v>817</v>
      </c>
      <c r="W331" s="16">
        <v>31.7</v>
      </c>
      <c r="X331" s="2">
        <v>3.17</v>
      </c>
      <c r="Y331" s="2">
        <v>15.85</v>
      </c>
    </row>
    <row r="332" spans="18:25" ht="12.75">
      <c r="R332" s="142">
        <v>31.8</v>
      </c>
      <c r="S332" s="143">
        <v>818</v>
      </c>
      <c r="W332" s="16">
        <v>31.8</v>
      </c>
      <c r="X332" s="2">
        <v>3.18</v>
      </c>
      <c r="Y332" s="2">
        <v>15.9</v>
      </c>
    </row>
    <row r="333" spans="18:25" ht="12.75">
      <c r="R333" s="142">
        <v>31.9</v>
      </c>
      <c r="S333" s="143">
        <v>819</v>
      </c>
      <c r="W333" s="16">
        <v>31.9</v>
      </c>
      <c r="X333" s="2">
        <v>3.19</v>
      </c>
      <c r="Y333" s="2">
        <v>15.95</v>
      </c>
    </row>
    <row r="334" spans="18:25" ht="12.75">
      <c r="R334" s="142">
        <v>32</v>
      </c>
      <c r="S334" s="143">
        <v>820</v>
      </c>
      <c r="W334" s="16">
        <v>32</v>
      </c>
      <c r="X334" s="2">
        <v>3.2</v>
      </c>
      <c r="Y334" s="2">
        <v>16</v>
      </c>
    </row>
    <row r="335" spans="18:25" ht="12.75">
      <c r="R335" s="142">
        <v>32.1</v>
      </c>
      <c r="S335" s="143">
        <v>821</v>
      </c>
      <c r="W335" s="16">
        <v>32.1</v>
      </c>
      <c r="X335" s="2">
        <v>3.21</v>
      </c>
      <c r="Y335" s="2">
        <v>16.05</v>
      </c>
    </row>
    <row r="336" spans="18:25" ht="12.75">
      <c r="R336" s="142">
        <v>32.2</v>
      </c>
      <c r="S336" s="143">
        <v>822</v>
      </c>
      <c r="W336" s="16">
        <v>32.2</v>
      </c>
      <c r="X336" s="2">
        <v>3.22</v>
      </c>
      <c r="Y336" s="2">
        <v>16.1</v>
      </c>
    </row>
    <row r="337" spans="18:25" ht="12.75">
      <c r="R337" s="142">
        <v>32.3</v>
      </c>
      <c r="S337" s="143">
        <v>823</v>
      </c>
      <c r="W337" s="16">
        <v>32.3</v>
      </c>
      <c r="X337" s="2">
        <v>3.23</v>
      </c>
      <c r="Y337" s="2">
        <v>16.15</v>
      </c>
    </row>
    <row r="338" spans="18:25" ht="12.75">
      <c r="R338" s="142">
        <v>32.4</v>
      </c>
      <c r="S338" s="143">
        <v>824</v>
      </c>
      <c r="W338" s="16">
        <v>32.4</v>
      </c>
      <c r="X338" s="2">
        <v>3.24</v>
      </c>
      <c r="Y338" s="2">
        <v>16.2</v>
      </c>
    </row>
    <row r="339" spans="18:25" ht="12.75">
      <c r="R339" s="142">
        <v>32.5</v>
      </c>
      <c r="S339" s="143">
        <v>825</v>
      </c>
      <c r="W339" s="16">
        <v>32.5</v>
      </c>
      <c r="X339" s="2">
        <v>3.25</v>
      </c>
      <c r="Y339" s="2">
        <v>16.25</v>
      </c>
    </row>
    <row r="340" spans="18:25" ht="12.75">
      <c r="R340" s="142">
        <v>32.6</v>
      </c>
      <c r="S340" s="143">
        <v>826</v>
      </c>
      <c r="W340" s="16">
        <v>32.6</v>
      </c>
      <c r="X340" s="2">
        <v>3.26</v>
      </c>
      <c r="Y340" s="2">
        <v>16.3</v>
      </c>
    </row>
    <row r="341" spans="18:25" ht="12.75">
      <c r="R341" s="142">
        <v>32.7</v>
      </c>
      <c r="S341" s="143">
        <v>827</v>
      </c>
      <c r="W341" s="16">
        <v>32.7</v>
      </c>
      <c r="X341" s="2">
        <v>3.27</v>
      </c>
      <c r="Y341" s="2">
        <v>16.35</v>
      </c>
    </row>
    <row r="342" spans="18:25" ht="12.75">
      <c r="R342" s="142">
        <v>32.8</v>
      </c>
      <c r="S342" s="143">
        <v>828</v>
      </c>
      <c r="W342" s="16">
        <v>32.8</v>
      </c>
      <c r="X342" s="2">
        <v>3.28</v>
      </c>
      <c r="Y342" s="2">
        <v>16.4</v>
      </c>
    </row>
    <row r="343" spans="18:25" ht="12.75">
      <c r="R343" s="142">
        <v>32.9</v>
      </c>
      <c r="S343" s="143">
        <v>829</v>
      </c>
      <c r="W343" s="16">
        <v>32.9</v>
      </c>
      <c r="X343" s="2">
        <v>3.29</v>
      </c>
      <c r="Y343" s="2">
        <v>16.45</v>
      </c>
    </row>
    <row r="344" spans="18:25" ht="12.75">
      <c r="R344" s="142">
        <v>33</v>
      </c>
      <c r="S344" s="143">
        <v>830</v>
      </c>
      <c r="W344" s="16">
        <v>33</v>
      </c>
      <c r="X344" s="2">
        <v>3.3</v>
      </c>
      <c r="Y344" s="2">
        <v>16.5</v>
      </c>
    </row>
    <row r="345" spans="18:25" ht="12.75">
      <c r="R345" s="142">
        <v>33.1</v>
      </c>
      <c r="S345" s="143">
        <v>831</v>
      </c>
      <c r="W345" s="16">
        <v>33.1</v>
      </c>
      <c r="X345" s="2">
        <v>3.31</v>
      </c>
      <c r="Y345" s="2">
        <v>16.55</v>
      </c>
    </row>
    <row r="346" spans="18:25" ht="12.75">
      <c r="R346" s="142">
        <v>33.2</v>
      </c>
      <c r="S346" s="143">
        <v>832</v>
      </c>
      <c r="W346" s="16">
        <v>33.2</v>
      </c>
      <c r="X346" s="2">
        <v>3.32</v>
      </c>
      <c r="Y346" s="2">
        <v>16.6</v>
      </c>
    </row>
    <row r="347" spans="18:25" ht="12.75">
      <c r="R347" s="142">
        <v>33.3</v>
      </c>
      <c r="S347" s="143">
        <v>833</v>
      </c>
      <c r="W347" s="16">
        <v>33.3</v>
      </c>
      <c r="X347" s="2">
        <v>3.33</v>
      </c>
      <c r="Y347" s="2">
        <v>16.65</v>
      </c>
    </row>
    <row r="348" spans="18:25" ht="12.75">
      <c r="R348" s="142">
        <v>33.4</v>
      </c>
      <c r="S348" s="143">
        <v>834</v>
      </c>
      <c r="W348" s="16">
        <v>33.4</v>
      </c>
      <c r="X348" s="2">
        <v>3.34</v>
      </c>
      <c r="Y348" s="2">
        <v>16.7</v>
      </c>
    </row>
    <row r="349" spans="18:25" ht="12.75">
      <c r="R349" s="142">
        <v>33.5</v>
      </c>
      <c r="S349" s="143">
        <v>835</v>
      </c>
      <c r="W349" s="16">
        <v>33.5</v>
      </c>
      <c r="X349" s="2">
        <v>3.35</v>
      </c>
      <c r="Y349" s="2">
        <v>16.75</v>
      </c>
    </row>
    <row r="350" spans="18:25" ht="12.75">
      <c r="R350" s="142">
        <v>33.6</v>
      </c>
      <c r="S350" s="143">
        <v>836</v>
      </c>
      <c r="W350" s="16">
        <v>33.6</v>
      </c>
      <c r="X350" s="2">
        <v>3.36</v>
      </c>
      <c r="Y350" s="2">
        <v>16.8</v>
      </c>
    </row>
    <row r="351" spans="18:25" ht="12.75">
      <c r="R351" s="142">
        <v>33.7</v>
      </c>
      <c r="S351" s="143">
        <v>837</v>
      </c>
      <c r="W351" s="16">
        <v>33.7</v>
      </c>
      <c r="X351" s="2">
        <v>3.37</v>
      </c>
      <c r="Y351" s="2">
        <v>16.85</v>
      </c>
    </row>
    <row r="352" spans="18:25" ht="12.75">
      <c r="R352" s="142">
        <v>33.8</v>
      </c>
      <c r="S352" s="143">
        <v>838</v>
      </c>
      <c r="W352" s="16">
        <v>33.8</v>
      </c>
      <c r="X352" s="2">
        <v>3.38</v>
      </c>
      <c r="Y352" s="2">
        <v>16.9</v>
      </c>
    </row>
    <row r="353" spans="18:25" ht="12.75">
      <c r="R353" s="142">
        <v>33.9</v>
      </c>
      <c r="S353" s="143">
        <v>839</v>
      </c>
      <c r="W353" s="16">
        <v>33.9</v>
      </c>
      <c r="X353" s="2">
        <v>3.39</v>
      </c>
      <c r="Y353" s="2">
        <v>16.95</v>
      </c>
    </row>
    <row r="354" spans="18:25" ht="12.75">
      <c r="R354" s="142">
        <v>34</v>
      </c>
      <c r="S354" s="143">
        <v>840</v>
      </c>
      <c r="W354" s="16">
        <v>34</v>
      </c>
      <c r="X354" s="2">
        <v>3.4</v>
      </c>
      <c r="Y354" s="2">
        <v>17</v>
      </c>
    </row>
    <row r="355" spans="18:25" ht="12.75">
      <c r="R355" s="142">
        <v>34.1</v>
      </c>
      <c r="S355" s="143">
        <v>841</v>
      </c>
      <c r="W355" s="16">
        <v>34.1</v>
      </c>
      <c r="X355" s="2">
        <v>3.41</v>
      </c>
      <c r="Y355" s="2">
        <v>17.05</v>
      </c>
    </row>
    <row r="356" spans="18:25" ht="12.75">
      <c r="R356" s="142">
        <v>34.2</v>
      </c>
      <c r="S356" s="143">
        <v>842</v>
      </c>
      <c r="W356" s="16">
        <v>34.2</v>
      </c>
      <c r="X356" s="2">
        <v>3.42</v>
      </c>
      <c r="Y356" s="2">
        <v>17.1</v>
      </c>
    </row>
    <row r="357" spans="18:25" ht="12.75">
      <c r="R357" s="142">
        <v>34.3</v>
      </c>
      <c r="S357" s="143">
        <v>843</v>
      </c>
      <c r="W357" s="16">
        <v>34.3</v>
      </c>
      <c r="X357" s="2">
        <v>3.43</v>
      </c>
      <c r="Y357" s="2">
        <v>17.15</v>
      </c>
    </row>
    <row r="358" spans="18:25" ht="12.75">
      <c r="R358" s="142">
        <v>34.4</v>
      </c>
      <c r="S358" s="143">
        <v>844</v>
      </c>
      <c r="W358" s="16">
        <v>34.4</v>
      </c>
      <c r="X358" s="2">
        <v>3.44</v>
      </c>
      <c r="Y358" s="2">
        <v>17.2</v>
      </c>
    </row>
    <row r="359" spans="18:25" ht="12.75">
      <c r="R359" s="142">
        <v>34.5</v>
      </c>
      <c r="S359" s="143">
        <v>845</v>
      </c>
      <c r="W359" s="16">
        <v>34.5</v>
      </c>
      <c r="X359" s="2">
        <v>3.45</v>
      </c>
      <c r="Y359" s="2">
        <v>17.25</v>
      </c>
    </row>
    <row r="360" spans="18:25" ht="12.75">
      <c r="R360" s="142">
        <v>34.6</v>
      </c>
      <c r="S360" s="143">
        <v>846</v>
      </c>
      <c r="W360" s="16">
        <v>34.6</v>
      </c>
      <c r="X360" s="2">
        <v>3.46</v>
      </c>
      <c r="Y360" s="2">
        <v>17.3</v>
      </c>
    </row>
    <row r="361" spans="18:25" ht="12.75">
      <c r="R361" s="142">
        <v>34.7</v>
      </c>
      <c r="S361" s="143">
        <v>847</v>
      </c>
      <c r="W361" s="16">
        <v>34.7</v>
      </c>
      <c r="X361" s="2">
        <v>3.47</v>
      </c>
      <c r="Y361" s="2">
        <v>17.35</v>
      </c>
    </row>
    <row r="362" spans="18:25" ht="12.75">
      <c r="R362" s="142">
        <v>34.8</v>
      </c>
      <c r="S362" s="143">
        <v>848</v>
      </c>
      <c r="W362" s="16">
        <v>34.8</v>
      </c>
      <c r="X362" s="2">
        <v>3.48</v>
      </c>
      <c r="Y362" s="2">
        <v>17.4</v>
      </c>
    </row>
    <row r="363" spans="18:25" ht="12.75">
      <c r="R363" s="142">
        <v>34.9</v>
      </c>
      <c r="S363" s="143">
        <v>849</v>
      </c>
      <c r="W363" s="16">
        <v>34.9</v>
      </c>
      <c r="X363" s="2">
        <v>3.49</v>
      </c>
      <c r="Y363" s="2">
        <v>17.45</v>
      </c>
    </row>
    <row r="364" spans="18:25" ht="12.75">
      <c r="R364" s="142">
        <v>35</v>
      </c>
      <c r="S364" s="143">
        <v>850</v>
      </c>
      <c r="W364" s="16">
        <v>35</v>
      </c>
      <c r="X364" s="2">
        <v>3.5</v>
      </c>
      <c r="Y364" s="2">
        <v>17.5</v>
      </c>
    </row>
    <row r="365" spans="18:25" ht="12.75">
      <c r="R365" s="142">
        <v>35.1</v>
      </c>
      <c r="S365" s="143">
        <v>851</v>
      </c>
      <c r="W365" s="16">
        <v>35.1</v>
      </c>
      <c r="X365" s="2">
        <v>3.51</v>
      </c>
      <c r="Y365" s="2">
        <v>17.55</v>
      </c>
    </row>
    <row r="366" spans="18:25" ht="12.75">
      <c r="R366" s="142">
        <v>35.2</v>
      </c>
      <c r="S366" s="143">
        <v>852</v>
      </c>
      <c r="W366" s="16">
        <v>35.2</v>
      </c>
      <c r="X366" s="2">
        <v>3.52</v>
      </c>
      <c r="Y366" s="2">
        <v>17.6</v>
      </c>
    </row>
    <row r="367" spans="18:25" ht="12.75">
      <c r="R367" s="142">
        <v>35.3</v>
      </c>
      <c r="S367" s="143">
        <v>853</v>
      </c>
      <c r="W367" s="16">
        <v>35.3</v>
      </c>
      <c r="X367" s="2">
        <v>3.53</v>
      </c>
      <c r="Y367" s="2">
        <v>17.65</v>
      </c>
    </row>
    <row r="368" spans="18:25" ht="12.75">
      <c r="R368" s="142">
        <v>35.4</v>
      </c>
      <c r="S368" s="143">
        <v>854</v>
      </c>
      <c r="W368" s="16">
        <v>35.4</v>
      </c>
      <c r="X368" s="2">
        <v>3.54</v>
      </c>
      <c r="Y368" s="2">
        <v>17.7</v>
      </c>
    </row>
    <row r="369" spans="18:25" ht="12.75">
      <c r="R369" s="142">
        <v>35.5</v>
      </c>
      <c r="S369" s="143">
        <v>855</v>
      </c>
      <c r="W369" s="16">
        <v>35.5</v>
      </c>
      <c r="X369" s="2">
        <v>3.55</v>
      </c>
      <c r="Y369" s="2">
        <v>17.75</v>
      </c>
    </row>
    <row r="370" spans="18:25" ht="12.75">
      <c r="R370" s="142">
        <v>35.6</v>
      </c>
      <c r="S370" s="143">
        <v>856</v>
      </c>
      <c r="W370" s="16">
        <v>35.6</v>
      </c>
      <c r="X370" s="2">
        <v>3.56</v>
      </c>
      <c r="Y370" s="2">
        <v>17.8</v>
      </c>
    </row>
    <row r="371" spans="18:25" ht="12.75">
      <c r="R371" s="142">
        <v>35.7</v>
      </c>
      <c r="S371" s="143">
        <v>857</v>
      </c>
      <c r="W371" s="16">
        <v>35.7</v>
      </c>
      <c r="X371" s="2">
        <v>3.57</v>
      </c>
      <c r="Y371" s="2">
        <v>17.85</v>
      </c>
    </row>
    <row r="372" spans="18:25" ht="12.75">
      <c r="R372" s="142">
        <v>35.8</v>
      </c>
      <c r="S372" s="143">
        <v>858</v>
      </c>
      <c r="W372" s="16">
        <v>35.8</v>
      </c>
      <c r="X372" s="2">
        <v>3.58</v>
      </c>
      <c r="Y372" s="2">
        <v>17.9</v>
      </c>
    </row>
    <row r="373" spans="18:25" ht="12.75">
      <c r="R373" s="142">
        <v>35.9</v>
      </c>
      <c r="S373" s="143">
        <v>859</v>
      </c>
      <c r="W373" s="16">
        <v>35.9</v>
      </c>
      <c r="X373" s="2">
        <v>3.59</v>
      </c>
      <c r="Y373" s="2">
        <v>17.95</v>
      </c>
    </row>
    <row r="374" spans="18:25" ht="12.75">
      <c r="R374" s="142">
        <v>36</v>
      </c>
      <c r="S374" s="143">
        <v>860</v>
      </c>
      <c r="W374" s="16">
        <v>36</v>
      </c>
      <c r="X374" s="2">
        <v>3.6</v>
      </c>
      <c r="Y374" s="2">
        <v>18</v>
      </c>
    </row>
    <row r="375" spans="18:25" ht="12.75">
      <c r="R375" s="142">
        <v>36.1</v>
      </c>
      <c r="S375" s="143">
        <v>861</v>
      </c>
      <c r="W375" s="16">
        <v>36.1</v>
      </c>
      <c r="X375" s="2">
        <v>3.61</v>
      </c>
      <c r="Y375" s="2">
        <v>18.05</v>
      </c>
    </row>
    <row r="376" spans="18:25" ht="12.75">
      <c r="R376" s="142">
        <v>36.2</v>
      </c>
      <c r="S376" s="143">
        <v>862</v>
      </c>
      <c r="W376" s="16">
        <v>36.2</v>
      </c>
      <c r="X376" s="2">
        <v>3.62</v>
      </c>
      <c r="Y376" s="2">
        <v>18.1</v>
      </c>
    </row>
    <row r="377" spans="18:25" ht="12.75">
      <c r="R377" s="142">
        <v>36.3</v>
      </c>
      <c r="S377" s="143">
        <v>863</v>
      </c>
      <c r="W377" s="16">
        <v>36.3</v>
      </c>
      <c r="X377" s="2">
        <v>3.63</v>
      </c>
      <c r="Y377" s="2">
        <v>18.15</v>
      </c>
    </row>
    <row r="378" spans="18:25" ht="12.75">
      <c r="R378" s="142">
        <v>36.4</v>
      </c>
      <c r="S378" s="143">
        <v>864</v>
      </c>
      <c r="W378" s="16">
        <v>36.4</v>
      </c>
      <c r="X378" s="2">
        <v>3.64</v>
      </c>
      <c r="Y378" s="2">
        <v>18.2</v>
      </c>
    </row>
    <row r="379" spans="18:25" ht="12.75">
      <c r="R379" s="142">
        <v>36.5</v>
      </c>
      <c r="S379" s="143">
        <v>865</v>
      </c>
      <c r="W379" s="16">
        <v>36.5</v>
      </c>
      <c r="X379" s="2">
        <v>3.65</v>
      </c>
      <c r="Y379" s="2">
        <v>18.25</v>
      </c>
    </row>
    <row r="380" spans="18:25" ht="12.75">
      <c r="R380" s="142">
        <v>36.6</v>
      </c>
      <c r="S380" s="143">
        <v>866</v>
      </c>
      <c r="W380" s="16">
        <v>36.6</v>
      </c>
      <c r="X380" s="2">
        <v>3.66</v>
      </c>
      <c r="Y380" s="2">
        <v>18.3</v>
      </c>
    </row>
    <row r="381" spans="18:25" ht="12.75">
      <c r="R381" s="142">
        <v>36.7</v>
      </c>
      <c r="S381" s="143">
        <v>867</v>
      </c>
      <c r="W381" s="16">
        <v>36.7</v>
      </c>
      <c r="X381" s="2">
        <v>3.67</v>
      </c>
      <c r="Y381" s="2">
        <v>18.35</v>
      </c>
    </row>
    <row r="382" spans="18:25" ht="12.75">
      <c r="R382" s="142">
        <v>36.8</v>
      </c>
      <c r="S382" s="143">
        <v>868</v>
      </c>
      <c r="W382" s="16">
        <v>36.8</v>
      </c>
      <c r="X382" s="2">
        <v>3.68</v>
      </c>
      <c r="Y382" s="2">
        <v>18.4</v>
      </c>
    </row>
    <row r="383" spans="18:25" ht="12.75">
      <c r="R383" s="142">
        <v>36.9</v>
      </c>
      <c r="S383" s="143">
        <v>869</v>
      </c>
      <c r="W383" s="16">
        <v>36.9</v>
      </c>
      <c r="X383" s="2">
        <v>3.69</v>
      </c>
      <c r="Y383" s="2">
        <v>18.45</v>
      </c>
    </row>
    <row r="384" spans="18:25" ht="12.75">
      <c r="R384" s="142">
        <v>37</v>
      </c>
      <c r="S384" s="143">
        <v>870</v>
      </c>
      <c r="W384" s="16">
        <v>37</v>
      </c>
      <c r="X384" s="2">
        <v>3.7</v>
      </c>
      <c r="Y384" s="2">
        <v>18.5</v>
      </c>
    </row>
    <row r="385" spans="18:25" ht="12.75">
      <c r="R385" s="142">
        <v>37.1</v>
      </c>
      <c r="S385" s="143">
        <v>871</v>
      </c>
      <c r="W385" s="16">
        <v>37.1</v>
      </c>
      <c r="X385" s="2">
        <v>3.71</v>
      </c>
      <c r="Y385" s="2">
        <v>18.55</v>
      </c>
    </row>
    <row r="386" spans="18:25" ht="12.75">
      <c r="R386" s="142">
        <v>37.2</v>
      </c>
      <c r="S386" s="143">
        <v>872</v>
      </c>
      <c r="W386" s="16">
        <v>37.2</v>
      </c>
      <c r="X386" s="2">
        <v>3.72</v>
      </c>
      <c r="Y386" s="2">
        <v>18.6</v>
      </c>
    </row>
    <row r="387" spans="18:25" ht="12.75">
      <c r="R387" s="142">
        <v>37.3</v>
      </c>
      <c r="S387" s="143">
        <v>873</v>
      </c>
      <c r="W387" s="16">
        <v>37.3</v>
      </c>
      <c r="X387" s="2">
        <v>3.73</v>
      </c>
      <c r="Y387" s="2">
        <v>18.65</v>
      </c>
    </row>
    <row r="388" spans="18:25" ht="12.75">
      <c r="R388" s="142">
        <v>37.4</v>
      </c>
      <c r="S388" s="143">
        <v>874</v>
      </c>
      <c r="W388" s="16">
        <v>37.4</v>
      </c>
      <c r="X388" s="2">
        <v>3.74</v>
      </c>
      <c r="Y388" s="2">
        <v>18.7</v>
      </c>
    </row>
    <row r="389" spans="18:25" ht="12.75">
      <c r="R389" s="142">
        <v>37.5</v>
      </c>
      <c r="S389" s="143">
        <v>875</v>
      </c>
      <c r="W389" s="16">
        <v>37.5</v>
      </c>
      <c r="X389" s="2">
        <v>3.75</v>
      </c>
      <c r="Y389" s="2">
        <v>18.75</v>
      </c>
    </row>
    <row r="390" spans="18:25" ht="12.75">
      <c r="R390" s="142">
        <v>37.6</v>
      </c>
      <c r="S390" s="143">
        <v>876</v>
      </c>
      <c r="W390" s="16">
        <v>37.6</v>
      </c>
      <c r="X390" s="2">
        <v>3.76</v>
      </c>
      <c r="Y390" s="2">
        <v>18.8</v>
      </c>
    </row>
    <row r="391" spans="18:25" ht="12.75">
      <c r="R391" s="142">
        <v>37.7</v>
      </c>
      <c r="S391" s="143">
        <v>877</v>
      </c>
      <c r="W391" s="16">
        <v>37.7</v>
      </c>
      <c r="X391" s="2">
        <v>3.77</v>
      </c>
      <c r="Y391" s="2">
        <v>18.85</v>
      </c>
    </row>
    <row r="392" spans="18:25" ht="12.75">
      <c r="R392" s="142">
        <v>37.8</v>
      </c>
      <c r="S392" s="143">
        <v>878</v>
      </c>
      <c r="W392" s="16">
        <v>37.8</v>
      </c>
      <c r="X392" s="2">
        <v>3.78</v>
      </c>
      <c r="Y392" s="2">
        <v>18.9</v>
      </c>
    </row>
    <row r="393" spans="18:25" ht="12.75">
      <c r="R393" s="142">
        <v>37.9</v>
      </c>
      <c r="S393" s="143">
        <v>879</v>
      </c>
      <c r="W393" s="16">
        <v>37.9</v>
      </c>
      <c r="X393" s="2">
        <v>3.79</v>
      </c>
      <c r="Y393" s="2">
        <v>18.95</v>
      </c>
    </row>
    <row r="394" spans="18:25" ht="12.75">
      <c r="R394" s="142">
        <v>38</v>
      </c>
      <c r="S394" s="143">
        <v>880</v>
      </c>
      <c r="W394" s="16">
        <v>38</v>
      </c>
      <c r="X394" s="2">
        <v>3.8</v>
      </c>
      <c r="Y394" s="2">
        <v>19</v>
      </c>
    </row>
    <row r="395" spans="18:25" ht="12.75">
      <c r="R395" s="142">
        <v>38.1</v>
      </c>
      <c r="S395" s="143">
        <v>881</v>
      </c>
      <c r="W395" s="16">
        <v>38.1</v>
      </c>
      <c r="X395" s="2">
        <v>3.81</v>
      </c>
      <c r="Y395" s="2">
        <v>19.05</v>
      </c>
    </row>
    <row r="396" spans="18:25" ht="12.75">
      <c r="R396" s="142">
        <v>38.2</v>
      </c>
      <c r="S396" s="143">
        <v>882</v>
      </c>
      <c r="W396" s="16">
        <v>38.2</v>
      </c>
      <c r="X396" s="2">
        <v>3.82</v>
      </c>
      <c r="Y396" s="2">
        <v>19.1</v>
      </c>
    </row>
    <row r="397" spans="18:25" ht="12.75">
      <c r="R397" s="142">
        <v>38.3</v>
      </c>
      <c r="S397" s="143">
        <v>883</v>
      </c>
      <c r="W397" s="16">
        <v>38.3</v>
      </c>
      <c r="X397" s="2">
        <v>3.83</v>
      </c>
      <c r="Y397" s="2">
        <v>19.15</v>
      </c>
    </row>
    <row r="398" spans="18:25" ht="12.75">
      <c r="R398" s="142">
        <v>38.4</v>
      </c>
      <c r="S398" s="143">
        <v>884</v>
      </c>
      <c r="W398" s="16">
        <v>38.4</v>
      </c>
      <c r="X398" s="2">
        <v>3.84</v>
      </c>
      <c r="Y398" s="2">
        <v>19.2</v>
      </c>
    </row>
    <row r="399" spans="18:25" ht="12.75">
      <c r="R399" s="142">
        <v>38.5</v>
      </c>
      <c r="S399" s="143">
        <v>885</v>
      </c>
      <c r="W399" s="16">
        <v>38.5</v>
      </c>
      <c r="X399" s="2">
        <v>3.85</v>
      </c>
      <c r="Y399" s="2">
        <v>19.25</v>
      </c>
    </row>
    <row r="400" spans="18:25" ht="12.75">
      <c r="R400" s="142">
        <v>38.6</v>
      </c>
      <c r="S400" s="143">
        <v>886</v>
      </c>
      <c r="W400" s="16">
        <v>38.6</v>
      </c>
      <c r="X400" s="2">
        <v>3.86</v>
      </c>
      <c r="Y400" s="2">
        <v>19.3</v>
      </c>
    </row>
    <row r="401" spans="18:25" ht="12.75">
      <c r="R401" s="142">
        <v>38.7</v>
      </c>
      <c r="S401" s="143">
        <v>887</v>
      </c>
      <c r="W401" s="16">
        <v>38.7</v>
      </c>
      <c r="X401" s="2">
        <v>3.87</v>
      </c>
      <c r="Y401" s="2">
        <v>19.35</v>
      </c>
    </row>
    <row r="402" spans="18:25" ht="12.75">
      <c r="R402" s="142">
        <v>38.8</v>
      </c>
      <c r="S402" s="143">
        <v>888</v>
      </c>
      <c r="W402" s="16">
        <v>38.8</v>
      </c>
      <c r="X402" s="2">
        <v>3.88</v>
      </c>
      <c r="Y402" s="2">
        <v>19.4</v>
      </c>
    </row>
    <row r="403" spans="18:25" ht="12.75">
      <c r="R403" s="142">
        <v>38.9</v>
      </c>
      <c r="S403" s="143">
        <v>889</v>
      </c>
      <c r="W403" s="16">
        <v>38.9</v>
      </c>
      <c r="X403" s="2">
        <v>3.89</v>
      </c>
      <c r="Y403" s="2">
        <v>19.45</v>
      </c>
    </row>
    <row r="404" spans="18:25" ht="12.75">
      <c r="R404" s="142">
        <v>39</v>
      </c>
      <c r="S404" s="143">
        <v>890</v>
      </c>
      <c r="W404" s="16">
        <v>39</v>
      </c>
      <c r="X404" s="2">
        <v>3.9</v>
      </c>
      <c r="Y404" s="2">
        <v>19.5</v>
      </c>
    </row>
    <row r="405" spans="18:25" ht="12.75">
      <c r="R405" s="142">
        <v>39.1</v>
      </c>
      <c r="S405" s="143">
        <v>891</v>
      </c>
      <c r="W405" s="16">
        <v>39.1</v>
      </c>
      <c r="X405" s="2">
        <v>3.91</v>
      </c>
      <c r="Y405" s="2">
        <v>19.55</v>
      </c>
    </row>
    <row r="406" spans="18:25" ht="12.75">
      <c r="R406" s="142">
        <v>39.2</v>
      </c>
      <c r="S406" s="143">
        <v>892</v>
      </c>
      <c r="W406" s="16">
        <v>39.2</v>
      </c>
      <c r="X406" s="2">
        <v>3.92</v>
      </c>
      <c r="Y406" s="2">
        <v>19.6</v>
      </c>
    </row>
    <row r="407" spans="18:25" ht="12.75">
      <c r="R407" s="142">
        <v>39.3</v>
      </c>
      <c r="S407" s="143">
        <v>893</v>
      </c>
      <c r="W407" s="16">
        <v>39.3</v>
      </c>
      <c r="X407" s="2">
        <v>3.93</v>
      </c>
      <c r="Y407" s="2">
        <v>19.65</v>
      </c>
    </row>
    <row r="408" spans="18:25" ht="12.75">
      <c r="R408" s="142">
        <v>39.4</v>
      </c>
      <c r="S408" s="143">
        <v>894</v>
      </c>
      <c r="W408" s="16">
        <v>39.4</v>
      </c>
      <c r="X408" s="2">
        <v>3.94</v>
      </c>
      <c r="Y408" s="2">
        <v>19.7</v>
      </c>
    </row>
    <row r="409" spans="18:25" ht="12.75">
      <c r="R409" s="142">
        <v>39.5</v>
      </c>
      <c r="S409" s="143">
        <v>895</v>
      </c>
      <c r="W409" s="16">
        <v>39.5</v>
      </c>
      <c r="X409" s="2">
        <v>3.95</v>
      </c>
      <c r="Y409" s="2">
        <v>19.75</v>
      </c>
    </row>
    <row r="410" spans="18:25" ht="12.75">
      <c r="R410" s="142">
        <v>39.6</v>
      </c>
      <c r="S410" s="143">
        <v>896</v>
      </c>
      <c r="W410" s="16">
        <v>39.6</v>
      </c>
      <c r="X410" s="2">
        <v>3.96</v>
      </c>
      <c r="Y410" s="2">
        <v>19.8</v>
      </c>
    </row>
    <row r="411" spans="18:25" ht="12.75">
      <c r="R411" s="142">
        <v>39.7</v>
      </c>
      <c r="S411" s="143">
        <v>897</v>
      </c>
      <c r="W411" s="16">
        <v>39.7</v>
      </c>
      <c r="X411" s="2">
        <v>3.97</v>
      </c>
      <c r="Y411" s="2">
        <v>19.85</v>
      </c>
    </row>
    <row r="412" spans="18:25" ht="12.75">
      <c r="R412" s="142">
        <v>39.8</v>
      </c>
      <c r="S412" s="143">
        <v>898</v>
      </c>
      <c r="W412" s="16">
        <v>39.8</v>
      </c>
      <c r="X412" s="2">
        <v>3.98</v>
      </c>
      <c r="Y412" s="2">
        <v>19.9</v>
      </c>
    </row>
    <row r="413" spans="18:25" ht="12.75">
      <c r="R413" s="142">
        <v>39.9</v>
      </c>
      <c r="S413" s="143">
        <v>899</v>
      </c>
      <c r="W413" s="16">
        <v>39.9</v>
      </c>
      <c r="X413" s="2">
        <v>3.99</v>
      </c>
      <c r="Y413" s="2">
        <v>19.95</v>
      </c>
    </row>
    <row r="414" spans="18:25" ht="12.75">
      <c r="R414" s="142">
        <v>40</v>
      </c>
      <c r="S414" s="143">
        <v>900</v>
      </c>
      <c r="W414" s="16">
        <v>40</v>
      </c>
      <c r="X414" s="2">
        <v>4</v>
      </c>
      <c r="Y414" s="2">
        <v>20</v>
      </c>
    </row>
    <row r="415" spans="18:25" ht="12.75">
      <c r="R415" s="142">
        <v>40.1</v>
      </c>
      <c r="S415" s="143">
        <v>901</v>
      </c>
      <c r="W415" s="16">
        <v>40.1</v>
      </c>
      <c r="X415" s="2">
        <v>4.01</v>
      </c>
      <c r="Y415" s="2">
        <v>20.05</v>
      </c>
    </row>
    <row r="416" spans="18:25" ht="12.75">
      <c r="R416" s="142">
        <v>40.2</v>
      </c>
      <c r="S416" s="143">
        <v>902</v>
      </c>
      <c r="W416" s="16">
        <v>40.2</v>
      </c>
      <c r="X416" s="2">
        <v>4.02</v>
      </c>
      <c r="Y416" s="2">
        <v>20.1</v>
      </c>
    </row>
    <row r="417" spans="18:25" ht="12.75">
      <c r="R417" s="142">
        <v>40.3</v>
      </c>
      <c r="S417" s="143">
        <v>903</v>
      </c>
      <c r="W417" s="16">
        <v>40.3</v>
      </c>
      <c r="X417" s="2">
        <v>4.03</v>
      </c>
      <c r="Y417" s="2">
        <v>20.15</v>
      </c>
    </row>
    <row r="418" spans="18:25" ht="12.75">
      <c r="R418" s="142">
        <v>40.4</v>
      </c>
      <c r="S418" s="143">
        <v>904</v>
      </c>
      <c r="W418" s="16">
        <v>40.4</v>
      </c>
      <c r="X418" s="2">
        <v>4.04</v>
      </c>
      <c r="Y418" s="2">
        <v>20.2</v>
      </c>
    </row>
    <row r="419" spans="18:25" ht="12.75">
      <c r="R419" s="142">
        <v>40.5</v>
      </c>
      <c r="S419" s="143">
        <v>905</v>
      </c>
      <c r="W419" s="16">
        <v>40.5</v>
      </c>
      <c r="X419" s="2">
        <v>4.05</v>
      </c>
      <c r="Y419" s="2">
        <v>20.25</v>
      </c>
    </row>
    <row r="420" spans="18:25" ht="12.75">
      <c r="R420" s="142">
        <v>40.6</v>
      </c>
      <c r="S420" s="143">
        <v>906</v>
      </c>
      <c r="W420" s="16">
        <v>40.6</v>
      </c>
      <c r="X420" s="2">
        <v>4.06</v>
      </c>
      <c r="Y420" s="2">
        <v>20.3</v>
      </c>
    </row>
    <row r="421" spans="18:25" ht="12.75">
      <c r="R421" s="142">
        <v>40.7</v>
      </c>
      <c r="S421" s="143">
        <v>907</v>
      </c>
      <c r="W421" s="16">
        <v>40.7</v>
      </c>
      <c r="X421" s="2">
        <v>4.07</v>
      </c>
      <c r="Y421" s="2">
        <v>20.35</v>
      </c>
    </row>
    <row r="422" spans="18:25" ht="12.75">
      <c r="R422" s="142">
        <v>40.8</v>
      </c>
      <c r="S422" s="143">
        <v>908</v>
      </c>
      <c r="W422" s="16">
        <v>40.8</v>
      </c>
      <c r="X422" s="2">
        <v>4.08</v>
      </c>
      <c r="Y422" s="2">
        <v>20.4</v>
      </c>
    </row>
    <row r="423" spans="18:25" ht="12.75">
      <c r="R423" s="142">
        <v>40.9</v>
      </c>
      <c r="S423" s="143">
        <v>909</v>
      </c>
      <c r="W423" s="16">
        <v>40.9</v>
      </c>
      <c r="X423" s="2">
        <v>4.09</v>
      </c>
      <c r="Y423" s="2">
        <v>20.45</v>
      </c>
    </row>
    <row r="424" spans="18:25" ht="12.75">
      <c r="R424" s="142">
        <v>41</v>
      </c>
      <c r="S424" s="143">
        <v>910</v>
      </c>
      <c r="W424" s="16">
        <v>41</v>
      </c>
      <c r="X424" s="2">
        <v>4.1</v>
      </c>
      <c r="Y424" s="2">
        <v>20.5</v>
      </c>
    </row>
    <row r="425" spans="18:25" ht="12.75">
      <c r="R425" s="142">
        <v>41.1</v>
      </c>
      <c r="S425" s="143">
        <v>911</v>
      </c>
      <c r="W425" s="16">
        <v>41.1</v>
      </c>
      <c r="X425" s="2">
        <v>4.11</v>
      </c>
      <c r="Y425" s="2">
        <v>20.55</v>
      </c>
    </row>
    <row r="426" spans="18:25" ht="12.75">
      <c r="R426" s="142">
        <v>41.2</v>
      </c>
      <c r="S426" s="143">
        <v>912</v>
      </c>
      <c r="W426" s="16">
        <v>41.2</v>
      </c>
      <c r="X426" s="2">
        <v>4.12</v>
      </c>
      <c r="Y426" s="2">
        <v>20.6</v>
      </c>
    </row>
    <row r="427" spans="18:25" ht="12.75">
      <c r="R427" s="142">
        <v>41.3</v>
      </c>
      <c r="S427" s="143">
        <v>913</v>
      </c>
      <c r="W427" s="16">
        <v>41.3</v>
      </c>
      <c r="X427" s="2">
        <v>4.13</v>
      </c>
      <c r="Y427" s="2">
        <v>20.65</v>
      </c>
    </row>
    <row r="428" spans="18:25" ht="12.75">
      <c r="R428" s="142">
        <v>41.4</v>
      </c>
      <c r="S428" s="143">
        <v>914</v>
      </c>
      <c r="W428" s="16">
        <v>41.4</v>
      </c>
      <c r="X428" s="2">
        <v>4.14</v>
      </c>
      <c r="Y428" s="2">
        <v>20.7</v>
      </c>
    </row>
    <row r="429" spans="18:25" ht="12.75">
      <c r="R429" s="142">
        <v>41.5</v>
      </c>
      <c r="S429" s="143">
        <v>915</v>
      </c>
      <c r="W429" s="16">
        <v>41.5</v>
      </c>
      <c r="X429" s="2">
        <v>4.15</v>
      </c>
      <c r="Y429" s="2">
        <v>20.75</v>
      </c>
    </row>
    <row r="430" spans="18:25" ht="12.75">
      <c r="R430" s="142">
        <v>41.6</v>
      </c>
      <c r="S430" s="143">
        <v>916</v>
      </c>
      <c r="W430" s="16">
        <v>41.6</v>
      </c>
      <c r="X430" s="2">
        <v>4.16</v>
      </c>
      <c r="Y430" s="2">
        <v>20.8</v>
      </c>
    </row>
    <row r="431" spans="18:25" ht="12.75">
      <c r="R431" s="142">
        <v>41.7</v>
      </c>
      <c r="S431" s="143">
        <v>917</v>
      </c>
      <c r="W431" s="16">
        <v>41.7</v>
      </c>
      <c r="X431" s="2">
        <v>4.17</v>
      </c>
      <c r="Y431" s="2">
        <v>20.85</v>
      </c>
    </row>
    <row r="432" spans="18:25" ht="12.75">
      <c r="R432" s="142">
        <v>41.8</v>
      </c>
      <c r="S432" s="143">
        <v>918</v>
      </c>
      <c r="W432" s="16">
        <v>41.8</v>
      </c>
      <c r="X432" s="2">
        <v>4.18</v>
      </c>
      <c r="Y432" s="2">
        <v>20.9</v>
      </c>
    </row>
    <row r="433" spans="18:25" ht="12.75">
      <c r="R433" s="142">
        <v>41.9</v>
      </c>
      <c r="S433" s="143">
        <v>919</v>
      </c>
      <c r="W433" s="16">
        <v>41.9</v>
      </c>
      <c r="X433" s="2">
        <v>4.19</v>
      </c>
      <c r="Y433" s="2">
        <v>20.95</v>
      </c>
    </row>
    <row r="434" spans="18:25" ht="12.75">
      <c r="R434" s="142">
        <v>42</v>
      </c>
      <c r="S434" s="143">
        <v>920</v>
      </c>
      <c r="W434" s="16">
        <v>42</v>
      </c>
      <c r="X434" s="2">
        <v>4.2</v>
      </c>
      <c r="Y434" s="2">
        <v>21</v>
      </c>
    </row>
    <row r="435" spans="18:25" ht="12.75">
      <c r="R435" s="142">
        <v>42.1</v>
      </c>
      <c r="S435" s="143">
        <v>921</v>
      </c>
      <c r="W435" s="16">
        <v>42.1</v>
      </c>
      <c r="X435" s="2">
        <v>4.21</v>
      </c>
      <c r="Y435" s="2">
        <v>21.05</v>
      </c>
    </row>
    <row r="436" spans="18:25" ht="12.75">
      <c r="R436" s="142">
        <v>42.2</v>
      </c>
      <c r="S436" s="143">
        <v>922</v>
      </c>
      <c r="W436" s="16">
        <v>42.2</v>
      </c>
      <c r="X436" s="2">
        <v>4.22</v>
      </c>
      <c r="Y436" s="2">
        <v>21.1</v>
      </c>
    </row>
    <row r="437" spans="18:25" ht="12.75">
      <c r="R437" s="142">
        <v>42.3</v>
      </c>
      <c r="S437" s="143">
        <v>923</v>
      </c>
      <c r="W437" s="16">
        <v>42.3</v>
      </c>
      <c r="X437" s="2">
        <v>4.23</v>
      </c>
      <c r="Y437" s="2">
        <v>21.15</v>
      </c>
    </row>
    <row r="438" spans="18:25" ht="12.75">
      <c r="R438" s="142">
        <v>42.4</v>
      </c>
      <c r="S438" s="143">
        <v>924</v>
      </c>
      <c r="W438" s="16">
        <v>42.4</v>
      </c>
      <c r="X438" s="2">
        <v>4.24</v>
      </c>
      <c r="Y438" s="2">
        <v>21.2</v>
      </c>
    </row>
    <row r="439" spans="18:25" ht="12.75">
      <c r="R439" s="142">
        <v>42.5</v>
      </c>
      <c r="S439" s="143">
        <v>925</v>
      </c>
      <c r="W439" s="16">
        <v>42.5</v>
      </c>
      <c r="X439" s="2">
        <v>4.25</v>
      </c>
      <c r="Y439" s="2">
        <v>21.25</v>
      </c>
    </row>
    <row r="440" spans="18:25" ht="12.75">
      <c r="R440" s="142">
        <v>42.6</v>
      </c>
      <c r="S440" s="143">
        <v>926</v>
      </c>
      <c r="W440" s="16">
        <v>42.6</v>
      </c>
      <c r="X440" s="2">
        <v>4.26</v>
      </c>
      <c r="Y440" s="2">
        <v>21.3</v>
      </c>
    </row>
    <row r="441" spans="18:25" ht="12.75">
      <c r="R441" s="142">
        <v>42.7</v>
      </c>
      <c r="S441" s="143">
        <v>927</v>
      </c>
      <c r="W441" s="16">
        <v>42.7</v>
      </c>
      <c r="X441" s="2">
        <v>4.27</v>
      </c>
      <c r="Y441" s="2">
        <v>21.35</v>
      </c>
    </row>
    <row r="442" spans="18:25" ht="12.75">
      <c r="R442" s="142">
        <v>42.8</v>
      </c>
      <c r="S442" s="143">
        <v>928</v>
      </c>
      <c r="W442" s="16">
        <v>42.8</v>
      </c>
      <c r="X442" s="2">
        <v>4.28</v>
      </c>
      <c r="Y442" s="2">
        <v>21.4</v>
      </c>
    </row>
    <row r="443" spans="18:25" ht="12.75">
      <c r="R443" s="142">
        <v>42.9</v>
      </c>
      <c r="S443" s="143">
        <v>929</v>
      </c>
      <c r="W443" s="16">
        <v>42.9</v>
      </c>
      <c r="X443" s="2">
        <v>4.29</v>
      </c>
      <c r="Y443" s="2">
        <v>21.45</v>
      </c>
    </row>
    <row r="444" spans="18:25" ht="12.75">
      <c r="R444" s="142">
        <v>43</v>
      </c>
      <c r="S444" s="143">
        <v>930</v>
      </c>
      <c r="W444" s="16">
        <v>43</v>
      </c>
      <c r="X444" s="2">
        <v>4.3</v>
      </c>
      <c r="Y444" s="2">
        <v>21.5</v>
      </c>
    </row>
    <row r="445" spans="18:25" ht="12.75">
      <c r="R445" s="142">
        <v>43.1</v>
      </c>
      <c r="S445" s="143">
        <v>931</v>
      </c>
      <c r="W445" s="16">
        <v>43.1</v>
      </c>
      <c r="X445" s="2">
        <v>4.31</v>
      </c>
      <c r="Y445" s="2">
        <v>21.55</v>
      </c>
    </row>
    <row r="446" spans="18:25" ht="12.75">
      <c r="R446" s="142">
        <v>43.2</v>
      </c>
      <c r="S446" s="143">
        <v>932</v>
      </c>
      <c r="W446" s="16">
        <v>43.2</v>
      </c>
      <c r="X446" s="2">
        <v>4.32</v>
      </c>
      <c r="Y446" s="2">
        <v>21.6</v>
      </c>
    </row>
    <row r="447" spans="18:25" ht="12.75">
      <c r="R447" s="142">
        <v>43.3</v>
      </c>
      <c r="S447" s="143">
        <v>933</v>
      </c>
      <c r="W447" s="16">
        <v>43.3</v>
      </c>
      <c r="X447" s="2">
        <v>4.33</v>
      </c>
      <c r="Y447" s="2">
        <v>21.65</v>
      </c>
    </row>
    <row r="448" spans="18:25" ht="12.75">
      <c r="R448" s="142">
        <v>43.4</v>
      </c>
      <c r="S448" s="143">
        <v>934</v>
      </c>
      <c r="W448" s="16">
        <v>43.4</v>
      </c>
      <c r="X448" s="2">
        <v>4.34</v>
      </c>
      <c r="Y448" s="2">
        <v>21.7</v>
      </c>
    </row>
    <row r="449" spans="18:25" ht="12.75">
      <c r="R449" s="142">
        <v>43.5</v>
      </c>
      <c r="S449" s="143">
        <v>935</v>
      </c>
      <c r="W449" s="16">
        <v>43.5</v>
      </c>
      <c r="X449" s="2">
        <v>4.35</v>
      </c>
      <c r="Y449" s="2">
        <v>21.75</v>
      </c>
    </row>
    <row r="450" spans="18:25" ht="12.75">
      <c r="R450" s="142">
        <v>43.6</v>
      </c>
      <c r="S450" s="143">
        <v>936</v>
      </c>
      <c r="W450" s="16">
        <v>43.6</v>
      </c>
      <c r="X450" s="2">
        <v>4.36</v>
      </c>
      <c r="Y450" s="2">
        <v>21.8</v>
      </c>
    </row>
    <row r="451" spans="18:25" ht="12.75">
      <c r="R451" s="142">
        <v>43.7</v>
      </c>
      <c r="S451" s="143">
        <v>937</v>
      </c>
      <c r="W451" s="16">
        <v>43.7</v>
      </c>
      <c r="X451" s="2">
        <v>4.37</v>
      </c>
      <c r="Y451" s="2">
        <v>21.85</v>
      </c>
    </row>
    <row r="452" spans="18:25" ht="12.75">
      <c r="R452" s="142">
        <v>43.8</v>
      </c>
      <c r="S452" s="143">
        <v>938</v>
      </c>
      <c r="W452" s="16">
        <v>43.8</v>
      </c>
      <c r="X452" s="2">
        <v>4.38</v>
      </c>
      <c r="Y452" s="2">
        <v>21.9</v>
      </c>
    </row>
    <row r="453" spans="18:25" ht="12.75">
      <c r="R453" s="142">
        <v>43.9</v>
      </c>
      <c r="S453" s="143">
        <v>939</v>
      </c>
      <c r="W453" s="16">
        <v>43.9</v>
      </c>
      <c r="X453" s="2">
        <v>4.39</v>
      </c>
      <c r="Y453" s="2">
        <v>21.95</v>
      </c>
    </row>
    <row r="454" spans="18:25" ht="12.75">
      <c r="R454" s="142">
        <v>44</v>
      </c>
      <c r="S454" s="143">
        <v>940</v>
      </c>
      <c r="W454" s="16">
        <v>44</v>
      </c>
      <c r="X454" s="2">
        <v>4.4</v>
      </c>
      <c r="Y454" s="2">
        <v>22</v>
      </c>
    </row>
    <row r="455" spans="18:25" ht="12.75">
      <c r="R455" s="142">
        <v>44.1</v>
      </c>
      <c r="S455" s="143">
        <v>941</v>
      </c>
      <c r="W455" s="16">
        <v>44.1</v>
      </c>
      <c r="X455" s="2">
        <v>4.41</v>
      </c>
      <c r="Y455" s="2">
        <v>22.05</v>
      </c>
    </row>
    <row r="456" spans="18:25" ht="12.75">
      <c r="R456" s="142">
        <v>44.2</v>
      </c>
      <c r="S456" s="143">
        <v>942</v>
      </c>
      <c r="W456" s="16">
        <v>44.2</v>
      </c>
      <c r="X456" s="2">
        <v>4.42</v>
      </c>
      <c r="Y456" s="2">
        <v>22.1</v>
      </c>
    </row>
    <row r="457" spans="18:25" ht="12.75">
      <c r="R457" s="142">
        <v>44.3</v>
      </c>
      <c r="S457" s="143">
        <v>943</v>
      </c>
      <c r="W457" s="16">
        <v>44.3</v>
      </c>
      <c r="X457" s="2">
        <v>4.43</v>
      </c>
      <c r="Y457" s="2">
        <v>22.15</v>
      </c>
    </row>
    <row r="458" spans="18:25" ht="12.75">
      <c r="R458" s="142">
        <v>44.4</v>
      </c>
      <c r="S458" s="143">
        <v>944</v>
      </c>
      <c r="W458" s="16">
        <v>44.4</v>
      </c>
      <c r="X458" s="2">
        <v>4.44</v>
      </c>
      <c r="Y458" s="2">
        <v>22.2</v>
      </c>
    </row>
    <row r="459" spans="18:25" ht="12.75">
      <c r="R459" s="142">
        <v>44.5</v>
      </c>
      <c r="S459" s="143">
        <v>945</v>
      </c>
      <c r="W459" s="16">
        <v>44.5</v>
      </c>
      <c r="X459" s="2">
        <v>4.45</v>
      </c>
      <c r="Y459" s="2">
        <v>22.25</v>
      </c>
    </row>
    <row r="460" spans="18:25" ht="12.75">
      <c r="R460" s="142">
        <v>44.6</v>
      </c>
      <c r="S460" s="143">
        <v>946</v>
      </c>
      <c r="W460" s="16">
        <v>44.6</v>
      </c>
      <c r="X460" s="2">
        <v>4.46</v>
      </c>
      <c r="Y460" s="2">
        <v>22.3</v>
      </c>
    </row>
    <row r="461" spans="18:25" ht="12.75">
      <c r="R461" s="142">
        <v>44.7</v>
      </c>
      <c r="S461" s="143">
        <v>947</v>
      </c>
      <c r="W461" s="16">
        <v>44.7</v>
      </c>
      <c r="X461" s="2">
        <v>4.47</v>
      </c>
      <c r="Y461" s="2">
        <v>22.35</v>
      </c>
    </row>
    <row r="462" spans="18:25" ht="12.75">
      <c r="R462" s="142">
        <v>44.8</v>
      </c>
      <c r="S462" s="143">
        <v>948</v>
      </c>
      <c r="W462" s="16">
        <v>44.8</v>
      </c>
      <c r="X462" s="2">
        <v>4.48</v>
      </c>
      <c r="Y462" s="2">
        <v>22.4</v>
      </c>
    </row>
    <row r="463" spans="18:25" ht="12.75">
      <c r="R463" s="142">
        <v>44.9</v>
      </c>
      <c r="S463" s="143">
        <v>949</v>
      </c>
      <c r="W463" s="16">
        <v>44.9</v>
      </c>
      <c r="X463" s="2">
        <v>4.49</v>
      </c>
      <c r="Y463" s="2">
        <v>22.45</v>
      </c>
    </row>
    <row r="464" spans="18:25" ht="12.75">
      <c r="R464" s="142">
        <v>45</v>
      </c>
      <c r="S464" s="143">
        <v>950</v>
      </c>
      <c r="W464" s="16">
        <v>45</v>
      </c>
      <c r="X464" s="2">
        <v>4.5</v>
      </c>
      <c r="Y464" s="2">
        <v>22.5</v>
      </c>
    </row>
    <row r="465" spans="18:25" ht="12.75">
      <c r="R465" s="142">
        <v>45.1</v>
      </c>
      <c r="S465" s="143">
        <v>951</v>
      </c>
      <c r="W465" s="16">
        <v>45.1</v>
      </c>
      <c r="X465" s="2">
        <v>4.51</v>
      </c>
      <c r="Y465" s="2">
        <v>22.55</v>
      </c>
    </row>
    <row r="466" spans="18:25" ht="12.75">
      <c r="R466" s="142">
        <v>45.2</v>
      </c>
      <c r="S466" s="143">
        <v>952</v>
      </c>
      <c r="W466" s="16">
        <v>45.2</v>
      </c>
      <c r="X466" s="2">
        <v>4.52</v>
      </c>
      <c r="Y466" s="2">
        <v>22.6</v>
      </c>
    </row>
    <row r="467" spans="18:25" ht="12.75">
      <c r="R467" s="142">
        <v>45.3</v>
      </c>
      <c r="S467" s="143">
        <v>953</v>
      </c>
      <c r="W467" s="16">
        <v>45.3</v>
      </c>
      <c r="X467" s="2">
        <v>4.53</v>
      </c>
      <c r="Y467" s="2">
        <v>22.65</v>
      </c>
    </row>
    <row r="468" spans="18:25" ht="12.75">
      <c r="R468" s="142">
        <v>45.4</v>
      </c>
      <c r="S468" s="143">
        <v>954</v>
      </c>
      <c r="W468" s="16">
        <v>45.4</v>
      </c>
      <c r="X468" s="2">
        <v>4.54</v>
      </c>
      <c r="Y468" s="2">
        <v>22.7</v>
      </c>
    </row>
    <row r="469" spans="18:25" ht="12.75">
      <c r="R469" s="142">
        <v>45.5</v>
      </c>
      <c r="S469" s="143">
        <v>955</v>
      </c>
      <c r="W469" s="16">
        <v>45.5</v>
      </c>
      <c r="X469" s="2">
        <v>4.55</v>
      </c>
      <c r="Y469" s="2">
        <v>22.75</v>
      </c>
    </row>
    <row r="470" spans="18:25" ht="12.75">
      <c r="R470" s="142">
        <v>45.6</v>
      </c>
      <c r="S470" s="143">
        <v>956</v>
      </c>
      <c r="W470" s="16">
        <v>45.6</v>
      </c>
      <c r="X470" s="2">
        <v>4.56</v>
      </c>
      <c r="Y470" s="2">
        <v>22.8</v>
      </c>
    </row>
    <row r="471" spans="18:25" ht="12.75">
      <c r="R471" s="142">
        <v>45.7</v>
      </c>
      <c r="S471" s="143">
        <v>957</v>
      </c>
      <c r="W471" s="16">
        <v>45.7</v>
      </c>
      <c r="X471" s="2">
        <v>4.57</v>
      </c>
      <c r="Y471" s="2">
        <v>22.85</v>
      </c>
    </row>
    <row r="472" spans="18:25" ht="12.75">
      <c r="R472" s="142">
        <v>45.8</v>
      </c>
      <c r="S472" s="143">
        <v>958</v>
      </c>
      <c r="W472" s="16">
        <v>45.8</v>
      </c>
      <c r="X472" s="2">
        <v>4.58</v>
      </c>
      <c r="Y472" s="2">
        <v>22.9</v>
      </c>
    </row>
    <row r="473" spans="18:25" ht="12.75">
      <c r="R473" s="142">
        <v>45.9</v>
      </c>
      <c r="S473" s="143">
        <v>959</v>
      </c>
      <c r="W473" s="16">
        <v>45.9</v>
      </c>
      <c r="X473" s="2">
        <v>4.59</v>
      </c>
      <c r="Y473" s="2">
        <v>22.95</v>
      </c>
    </row>
    <row r="474" spans="18:25" ht="12.75">
      <c r="R474" s="142">
        <v>46</v>
      </c>
      <c r="S474" s="143">
        <v>960</v>
      </c>
      <c r="W474" s="16">
        <v>46</v>
      </c>
      <c r="X474" s="2">
        <v>4.6</v>
      </c>
      <c r="Y474" s="2">
        <v>23</v>
      </c>
    </row>
    <row r="475" spans="18:25" ht="12.75">
      <c r="R475" s="142">
        <v>46.1</v>
      </c>
      <c r="S475" s="143">
        <v>961</v>
      </c>
      <c r="W475" s="16">
        <v>46.1</v>
      </c>
      <c r="X475" s="2">
        <v>4.61</v>
      </c>
      <c r="Y475" s="2">
        <v>23.05</v>
      </c>
    </row>
    <row r="476" spans="18:25" ht="12.75">
      <c r="R476" s="142">
        <v>46.2</v>
      </c>
      <c r="S476" s="143">
        <v>962</v>
      </c>
      <c r="W476" s="16">
        <v>46.2</v>
      </c>
      <c r="X476" s="2">
        <v>4.62</v>
      </c>
      <c r="Y476" s="2">
        <v>23.1</v>
      </c>
    </row>
    <row r="477" spans="18:25" ht="12.75">
      <c r="R477" s="142">
        <v>46.3</v>
      </c>
      <c r="S477" s="143">
        <v>963</v>
      </c>
      <c r="W477" s="16">
        <v>46.3</v>
      </c>
      <c r="X477" s="2">
        <v>4.63</v>
      </c>
      <c r="Y477" s="2">
        <v>23.15</v>
      </c>
    </row>
    <row r="478" spans="18:25" ht="12.75">
      <c r="R478" s="142">
        <v>46.4</v>
      </c>
      <c r="S478" s="143">
        <v>964</v>
      </c>
      <c r="W478" s="16">
        <v>46.4</v>
      </c>
      <c r="X478" s="2">
        <v>4.64</v>
      </c>
      <c r="Y478" s="2">
        <v>23.2</v>
      </c>
    </row>
    <row r="479" spans="18:25" ht="12.75">
      <c r="R479" s="142">
        <v>46.5</v>
      </c>
      <c r="S479" s="143">
        <v>965</v>
      </c>
      <c r="W479" s="16">
        <v>46.5</v>
      </c>
      <c r="X479" s="2">
        <v>4.65</v>
      </c>
      <c r="Y479" s="2">
        <v>23.25</v>
      </c>
    </row>
    <row r="480" spans="18:25" ht="12.75">
      <c r="R480" s="142">
        <v>46.6</v>
      </c>
      <c r="S480" s="143">
        <v>966</v>
      </c>
      <c r="W480" s="16">
        <v>46.6</v>
      </c>
      <c r="X480" s="2">
        <v>4.66</v>
      </c>
      <c r="Y480" s="2">
        <v>23.3</v>
      </c>
    </row>
    <row r="481" spans="18:25" ht="12.75">
      <c r="R481" s="142">
        <v>46.7</v>
      </c>
      <c r="S481" s="143">
        <v>967</v>
      </c>
      <c r="W481" s="16">
        <v>46.7</v>
      </c>
      <c r="X481" s="2">
        <v>4.67</v>
      </c>
      <c r="Y481" s="2">
        <v>23.35</v>
      </c>
    </row>
    <row r="482" spans="18:25" ht="12.75">
      <c r="R482" s="142">
        <v>46.8</v>
      </c>
      <c r="S482" s="143">
        <v>968</v>
      </c>
      <c r="W482" s="16">
        <v>46.8</v>
      </c>
      <c r="X482" s="2">
        <v>4.68</v>
      </c>
      <c r="Y482" s="2">
        <v>23.4</v>
      </c>
    </row>
    <row r="483" spans="18:25" ht="12.75">
      <c r="R483" s="142">
        <v>46.9</v>
      </c>
      <c r="S483" s="143">
        <v>969</v>
      </c>
      <c r="W483" s="16">
        <v>46.9</v>
      </c>
      <c r="X483" s="2">
        <v>4.69</v>
      </c>
      <c r="Y483" s="2">
        <v>23.45</v>
      </c>
    </row>
    <row r="484" spans="18:25" ht="12.75">
      <c r="R484" s="142">
        <v>47</v>
      </c>
      <c r="S484" s="143">
        <v>970</v>
      </c>
      <c r="W484" s="16">
        <v>47</v>
      </c>
      <c r="X484" s="2">
        <v>4.7</v>
      </c>
      <c r="Y484" s="2">
        <v>23.5</v>
      </c>
    </row>
    <row r="485" spans="18:25" ht="12.75">
      <c r="R485" s="142">
        <v>47.1</v>
      </c>
      <c r="S485" s="143">
        <v>971</v>
      </c>
      <c r="W485" s="16">
        <v>47.1</v>
      </c>
      <c r="X485" s="2">
        <v>4.71</v>
      </c>
      <c r="Y485" s="2">
        <v>23.55</v>
      </c>
    </row>
    <row r="486" spans="18:25" ht="12.75">
      <c r="R486" s="142">
        <v>47.2</v>
      </c>
      <c r="S486" s="143">
        <v>972</v>
      </c>
      <c r="W486" s="16">
        <v>47.2</v>
      </c>
      <c r="X486" s="2">
        <v>4.72</v>
      </c>
      <c r="Y486" s="2">
        <v>23.6</v>
      </c>
    </row>
    <row r="487" spans="18:25" ht="12.75">
      <c r="R487" s="142">
        <v>47.3</v>
      </c>
      <c r="S487" s="143">
        <v>973</v>
      </c>
      <c r="W487" s="16">
        <v>47.3</v>
      </c>
      <c r="X487" s="2">
        <v>4.73</v>
      </c>
      <c r="Y487" s="2">
        <v>23.65</v>
      </c>
    </row>
    <row r="488" spans="18:25" ht="12.75">
      <c r="R488" s="142">
        <v>47.4</v>
      </c>
      <c r="S488" s="143">
        <v>974</v>
      </c>
      <c r="W488" s="16">
        <v>47.4</v>
      </c>
      <c r="X488" s="2">
        <v>4.74</v>
      </c>
      <c r="Y488" s="2">
        <v>23.7</v>
      </c>
    </row>
    <row r="489" spans="18:25" ht="12.75">
      <c r="R489" s="142">
        <v>47.5</v>
      </c>
      <c r="S489" s="143">
        <v>975</v>
      </c>
      <c r="W489" s="16">
        <v>47.5</v>
      </c>
      <c r="X489" s="2">
        <v>4.75</v>
      </c>
      <c r="Y489" s="2">
        <v>23.75</v>
      </c>
    </row>
    <row r="490" spans="18:25" ht="12.75">
      <c r="R490" s="142">
        <v>47.6</v>
      </c>
      <c r="S490" s="143">
        <v>976</v>
      </c>
      <c r="W490" s="16">
        <v>47.6</v>
      </c>
      <c r="X490" s="2">
        <v>4.76</v>
      </c>
      <c r="Y490" s="2">
        <v>23.8</v>
      </c>
    </row>
    <row r="491" spans="18:25" ht="12.75">
      <c r="R491" s="142">
        <v>47.7</v>
      </c>
      <c r="S491" s="143">
        <v>977</v>
      </c>
      <c r="W491" s="16">
        <v>47.7</v>
      </c>
      <c r="X491" s="2">
        <v>4.77</v>
      </c>
      <c r="Y491" s="2">
        <v>23.85</v>
      </c>
    </row>
    <row r="492" spans="18:25" ht="12.75">
      <c r="R492" s="142">
        <v>47.8</v>
      </c>
      <c r="S492" s="143">
        <v>978</v>
      </c>
      <c r="W492" s="16">
        <v>47.8</v>
      </c>
      <c r="X492" s="2">
        <v>4.78</v>
      </c>
      <c r="Y492" s="2">
        <v>23.9</v>
      </c>
    </row>
    <row r="493" spans="18:25" ht="12.75">
      <c r="R493" s="142">
        <v>47.9</v>
      </c>
      <c r="S493" s="143">
        <v>979</v>
      </c>
      <c r="W493" s="16">
        <v>47.9</v>
      </c>
      <c r="X493" s="2">
        <v>4.79</v>
      </c>
      <c r="Y493" s="2">
        <v>23.95</v>
      </c>
    </row>
    <row r="494" spans="18:25" ht="12.75">
      <c r="R494" s="142">
        <v>48</v>
      </c>
      <c r="S494" s="143">
        <v>980</v>
      </c>
      <c r="W494" s="16">
        <v>48</v>
      </c>
      <c r="X494" s="2">
        <v>4.8</v>
      </c>
      <c r="Y494" s="2">
        <v>24</v>
      </c>
    </row>
    <row r="495" spans="18:25" ht="12.75">
      <c r="R495" s="142">
        <v>48.1</v>
      </c>
      <c r="S495" s="143">
        <v>981</v>
      </c>
      <c r="W495" s="16">
        <v>48.1</v>
      </c>
      <c r="X495" s="2">
        <v>4.81</v>
      </c>
      <c r="Y495" s="2">
        <v>24.05</v>
      </c>
    </row>
    <row r="496" spans="18:25" ht="12.75">
      <c r="R496" s="142">
        <v>48.2</v>
      </c>
      <c r="S496" s="143">
        <v>982</v>
      </c>
      <c r="W496" s="16">
        <v>48.2</v>
      </c>
      <c r="X496" s="2">
        <v>4.82</v>
      </c>
      <c r="Y496" s="2">
        <v>24.1</v>
      </c>
    </row>
    <row r="497" spans="18:25" ht="12.75">
      <c r="R497" s="142">
        <v>48.3</v>
      </c>
      <c r="S497" s="143">
        <v>983</v>
      </c>
      <c r="W497" s="16">
        <v>48.3</v>
      </c>
      <c r="X497" s="2">
        <v>4.83</v>
      </c>
      <c r="Y497" s="2">
        <v>24.15</v>
      </c>
    </row>
    <row r="498" spans="18:25" ht="12.75">
      <c r="R498" s="142">
        <v>48.4</v>
      </c>
      <c r="S498" s="143">
        <v>984</v>
      </c>
      <c r="W498" s="16">
        <v>48.4</v>
      </c>
      <c r="X498" s="2">
        <v>4.84</v>
      </c>
      <c r="Y498" s="2">
        <v>24.2</v>
      </c>
    </row>
    <row r="499" spans="18:25" ht="12.75">
      <c r="R499" s="142">
        <v>48.5</v>
      </c>
      <c r="S499" s="143">
        <v>985</v>
      </c>
      <c r="W499" s="16">
        <v>48.5</v>
      </c>
      <c r="X499" s="2">
        <v>4.85</v>
      </c>
      <c r="Y499" s="2">
        <v>24.25</v>
      </c>
    </row>
    <row r="500" spans="18:25" ht="12.75">
      <c r="R500" s="142">
        <v>48.6</v>
      </c>
      <c r="S500" s="143">
        <v>986</v>
      </c>
      <c r="W500" s="16">
        <v>48.6</v>
      </c>
      <c r="X500" s="2">
        <v>4.86</v>
      </c>
      <c r="Y500" s="2">
        <v>24.3</v>
      </c>
    </row>
    <row r="501" spans="18:25" ht="12.75">
      <c r="R501" s="142">
        <v>48.7</v>
      </c>
      <c r="S501" s="143">
        <v>987</v>
      </c>
      <c r="W501" s="16">
        <v>48.7</v>
      </c>
      <c r="X501" s="2">
        <v>4.87</v>
      </c>
      <c r="Y501" s="2">
        <v>24.35</v>
      </c>
    </row>
    <row r="502" spans="18:25" ht="12.75">
      <c r="R502" s="142">
        <v>48.8</v>
      </c>
      <c r="S502" s="143">
        <v>988</v>
      </c>
      <c r="W502" s="16">
        <v>48.8</v>
      </c>
      <c r="X502" s="2">
        <v>4.88</v>
      </c>
      <c r="Y502" s="2">
        <v>24.4</v>
      </c>
    </row>
    <row r="503" spans="18:25" ht="12.75">
      <c r="R503" s="142">
        <v>48.9</v>
      </c>
      <c r="S503" s="143">
        <v>989</v>
      </c>
      <c r="W503" s="16">
        <v>48.9</v>
      </c>
      <c r="X503" s="2">
        <v>4.89</v>
      </c>
      <c r="Y503" s="2">
        <v>24.45</v>
      </c>
    </row>
    <row r="504" spans="18:25" ht="12.75">
      <c r="R504" s="142">
        <v>49</v>
      </c>
      <c r="S504" s="143">
        <v>990</v>
      </c>
      <c r="W504" s="16">
        <v>49</v>
      </c>
      <c r="X504" s="2">
        <v>4.9</v>
      </c>
      <c r="Y504" s="2">
        <v>24.5</v>
      </c>
    </row>
    <row r="505" spans="18:25" ht="12.75">
      <c r="R505" s="142">
        <v>49.1</v>
      </c>
      <c r="S505" s="143">
        <v>991</v>
      </c>
      <c r="W505" s="16">
        <v>49.1</v>
      </c>
      <c r="X505" s="2">
        <v>4.91</v>
      </c>
      <c r="Y505" s="2">
        <v>24.55</v>
      </c>
    </row>
    <row r="506" spans="18:25" ht="12.75">
      <c r="R506" s="142">
        <v>49.2</v>
      </c>
      <c r="S506" s="143">
        <v>992</v>
      </c>
      <c r="W506" s="16">
        <v>49.2</v>
      </c>
      <c r="X506" s="2">
        <v>4.92</v>
      </c>
      <c r="Y506" s="2">
        <v>24.6</v>
      </c>
    </row>
    <row r="507" spans="18:25" ht="12.75">
      <c r="R507" s="142">
        <v>49.3</v>
      </c>
      <c r="S507" s="143">
        <v>993</v>
      </c>
      <c r="W507" s="16">
        <v>49.3</v>
      </c>
      <c r="X507" s="2">
        <v>4.93</v>
      </c>
      <c r="Y507" s="2">
        <v>24.65</v>
      </c>
    </row>
    <row r="508" spans="18:25" ht="12.75">
      <c r="R508" s="142">
        <v>49.4</v>
      </c>
      <c r="S508" s="143">
        <v>994</v>
      </c>
      <c r="W508" s="16">
        <v>49.4</v>
      </c>
      <c r="X508" s="2">
        <v>4.94</v>
      </c>
      <c r="Y508" s="2">
        <v>24.7</v>
      </c>
    </row>
    <row r="509" spans="18:25" ht="12.75">
      <c r="R509" s="142">
        <v>49.5</v>
      </c>
      <c r="S509" s="143">
        <v>995</v>
      </c>
      <c r="W509" s="16">
        <v>49.5</v>
      </c>
      <c r="X509" s="2">
        <v>4.95</v>
      </c>
      <c r="Y509" s="2">
        <v>24.75</v>
      </c>
    </row>
    <row r="510" spans="18:25" ht="12.75">
      <c r="R510" s="142">
        <v>49.6</v>
      </c>
      <c r="S510" s="143">
        <v>996</v>
      </c>
      <c r="W510" s="16">
        <v>49.6</v>
      </c>
      <c r="X510" s="2">
        <v>4.96</v>
      </c>
      <c r="Y510" s="2">
        <v>24.8</v>
      </c>
    </row>
    <row r="511" spans="18:25" ht="12.75">
      <c r="R511" s="142">
        <v>49.7</v>
      </c>
      <c r="S511" s="143">
        <v>997</v>
      </c>
      <c r="W511" s="16">
        <v>49.7</v>
      </c>
      <c r="X511" s="2">
        <v>4.97</v>
      </c>
      <c r="Y511" s="2">
        <v>24.85</v>
      </c>
    </row>
    <row r="512" spans="18:25" ht="12.75">
      <c r="R512" s="142">
        <v>49.8</v>
      </c>
      <c r="S512" s="143">
        <v>998</v>
      </c>
      <c r="W512" s="16">
        <v>49.8</v>
      </c>
      <c r="X512" s="2">
        <v>4.98</v>
      </c>
      <c r="Y512" s="2">
        <v>24.9</v>
      </c>
    </row>
    <row r="513" spans="18:25" ht="12.75">
      <c r="R513" s="142">
        <v>49.9</v>
      </c>
      <c r="S513" s="143">
        <v>999</v>
      </c>
      <c r="W513" s="16">
        <v>49.9</v>
      </c>
      <c r="X513" s="2">
        <v>4.99</v>
      </c>
      <c r="Y513" s="2">
        <v>24.95</v>
      </c>
    </row>
    <row r="514" spans="18:25" ht="12.75">
      <c r="R514" s="142">
        <v>50</v>
      </c>
      <c r="S514" s="143">
        <v>1000</v>
      </c>
      <c r="W514" s="16">
        <v>50</v>
      </c>
      <c r="X514" s="2">
        <v>5</v>
      </c>
      <c r="Y514" s="2">
        <v>25</v>
      </c>
    </row>
    <row r="515" spans="18:25" ht="12.75">
      <c r="R515" s="142">
        <v>50.1</v>
      </c>
      <c r="S515" s="143">
        <v>1001</v>
      </c>
      <c r="W515" s="16">
        <v>50.1</v>
      </c>
      <c r="X515" s="2">
        <v>5.01</v>
      </c>
      <c r="Y515" s="2">
        <v>25.05</v>
      </c>
    </row>
    <row r="516" spans="18:25" ht="12.75">
      <c r="R516" s="142">
        <v>50.2</v>
      </c>
      <c r="S516" s="143">
        <v>1002</v>
      </c>
      <c r="W516" s="16">
        <v>50.2</v>
      </c>
      <c r="X516" s="2">
        <v>5.02</v>
      </c>
      <c r="Y516" s="2">
        <v>25.1</v>
      </c>
    </row>
    <row r="517" spans="18:25" ht="12.75">
      <c r="R517" s="142">
        <v>50.3</v>
      </c>
      <c r="S517" s="143">
        <v>1003</v>
      </c>
      <c r="W517" s="16">
        <v>50.3</v>
      </c>
      <c r="X517" s="2">
        <v>5.03</v>
      </c>
      <c r="Y517" s="2">
        <v>25.15</v>
      </c>
    </row>
    <row r="518" spans="18:25" ht="12.75">
      <c r="R518" s="142">
        <v>50.4</v>
      </c>
      <c r="S518" s="143">
        <v>1004</v>
      </c>
      <c r="W518" s="16">
        <v>50.4</v>
      </c>
      <c r="X518" s="2">
        <v>5.04</v>
      </c>
      <c r="Y518" s="2">
        <v>25.2</v>
      </c>
    </row>
    <row r="519" spans="18:25" ht="12.75">
      <c r="R519" s="142">
        <v>50.5</v>
      </c>
      <c r="S519" s="143">
        <v>1005</v>
      </c>
      <c r="W519" s="16">
        <v>50.5</v>
      </c>
      <c r="X519" s="2">
        <v>5.05</v>
      </c>
      <c r="Y519" s="2">
        <v>25.25</v>
      </c>
    </row>
    <row r="520" spans="18:25" ht="12.75">
      <c r="R520" s="142">
        <v>50.6</v>
      </c>
      <c r="S520" s="143">
        <v>1006</v>
      </c>
      <c r="W520" s="16">
        <v>50.6</v>
      </c>
      <c r="X520" s="2">
        <v>5.06</v>
      </c>
      <c r="Y520" s="2">
        <v>25.3</v>
      </c>
    </row>
    <row r="521" spans="18:25" ht="12.75">
      <c r="R521" s="142">
        <v>50.7</v>
      </c>
      <c r="S521" s="143">
        <v>1007</v>
      </c>
      <c r="W521" s="16">
        <v>50.7</v>
      </c>
      <c r="X521" s="2">
        <v>5.07</v>
      </c>
      <c r="Y521" s="2">
        <v>25.35</v>
      </c>
    </row>
    <row r="522" spans="18:25" ht="12.75">
      <c r="R522" s="142">
        <v>50.8</v>
      </c>
      <c r="S522" s="143">
        <v>1008</v>
      </c>
      <c r="W522" s="16">
        <v>50.8</v>
      </c>
      <c r="X522" s="2">
        <v>5.08</v>
      </c>
      <c r="Y522" s="2">
        <v>25.4</v>
      </c>
    </row>
    <row r="523" spans="18:25" ht="12.75">
      <c r="R523" s="142">
        <v>50.9</v>
      </c>
      <c r="S523" s="143">
        <v>1009</v>
      </c>
      <c r="W523" s="16">
        <v>50.9</v>
      </c>
      <c r="X523" s="2">
        <v>5.09</v>
      </c>
      <c r="Y523" s="2">
        <v>25.45</v>
      </c>
    </row>
    <row r="524" spans="18:25" ht="12.75">
      <c r="R524" s="142">
        <v>51</v>
      </c>
      <c r="S524" s="143">
        <v>1010</v>
      </c>
      <c r="W524" s="16">
        <v>51</v>
      </c>
      <c r="X524" s="2">
        <v>5.1</v>
      </c>
      <c r="Y524" s="2">
        <v>25.5</v>
      </c>
    </row>
    <row r="525" spans="18:25" ht="12.75">
      <c r="R525" s="142">
        <v>51.1</v>
      </c>
      <c r="S525" s="143">
        <v>1011</v>
      </c>
      <c r="W525" s="16">
        <v>51.1</v>
      </c>
      <c r="X525" s="2">
        <v>5.11</v>
      </c>
      <c r="Y525" s="2">
        <v>25.55</v>
      </c>
    </row>
    <row r="526" spans="18:25" ht="12.75">
      <c r="R526" s="142">
        <v>51.2</v>
      </c>
      <c r="S526" s="143">
        <v>1012</v>
      </c>
      <c r="W526" s="16">
        <v>51.2</v>
      </c>
      <c r="X526" s="2">
        <v>5.12</v>
      </c>
      <c r="Y526" s="2">
        <v>25.6</v>
      </c>
    </row>
    <row r="527" spans="18:25" ht="12.75">
      <c r="R527" s="142">
        <v>51.3</v>
      </c>
      <c r="S527" s="143">
        <v>1013</v>
      </c>
      <c r="W527" s="16">
        <v>51.3</v>
      </c>
      <c r="X527" s="2">
        <v>5.13</v>
      </c>
      <c r="Y527" s="2">
        <v>25.65</v>
      </c>
    </row>
    <row r="528" spans="18:25" ht="12.75">
      <c r="R528" s="142">
        <v>51.4</v>
      </c>
      <c r="S528" s="143">
        <v>1014</v>
      </c>
      <c r="W528" s="16">
        <v>51.4</v>
      </c>
      <c r="X528" s="2">
        <v>5.14</v>
      </c>
      <c r="Y528" s="2">
        <v>25.7</v>
      </c>
    </row>
    <row r="529" spans="18:25" ht="12.75">
      <c r="R529" s="142">
        <v>51.5</v>
      </c>
      <c r="S529" s="143">
        <v>1015</v>
      </c>
      <c r="W529" s="16">
        <v>51.5</v>
      </c>
      <c r="X529" s="2">
        <v>5.15</v>
      </c>
      <c r="Y529" s="2">
        <v>25.75</v>
      </c>
    </row>
    <row r="530" spans="18:25" ht="12.75">
      <c r="R530" s="142">
        <v>51.6</v>
      </c>
      <c r="S530" s="143">
        <v>1016</v>
      </c>
      <c r="W530" s="16">
        <v>51.6</v>
      </c>
      <c r="X530" s="2">
        <v>5.16</v>
      </c>
      <c r="Y530" s="2">
        <v>25.8</v>
      </c>
    </row>
    <row r="531" spans="18:25" ht="12.75">
      <c r="R531" s="142">
        <v>51.7</v>
      </c>
      <c r="S531" s="143">
        <v>1017</v>
      </c>
      <c r="W531" s="16">
        <v>51.7</v>
      </c>
      <c r="X531" s="2">
        <v>5.17</v>
      </c>
      <c r="Y531" s="2">
        <v>25.85</v>
      </c>
    </row>
    <row r="532" spans="18:25" ht="12.75">
      <c r="R532" s="142">
        <v>51.8</v>
      </c>
      <c r="S532" s="143">
        <v>1018</v>
      </c>
      <c r="W532" s="16">
        <v>51.8</v>
      </c>
      <c r="X532" s="2">
        <v>5.18</v>
      </c>
      <c r="Y532" s="2">
        <v>25.9</v>
      </c>
    </row>
    <row r="533" spans="18:25" ht="12.75">
      <c r="R533" s="142">
        <v>51.9</v>
      </c>
      <c r="S533" s="143">
        <v>1019</v>
      </c>
      <c r="W533" s="16">
        <v>51.9</v>
      </c>
      <c r="X533" s="2">
        <v>5.19</v>
      </c>
      <c r="Y533" s="2">
        <v>25.95</v>
      </c>
    </row>
    <row r="534" spans="18:25" ht="12.75">
      <c r="R534" s="142">
        <v>52</v>
      </c>
      <c r="S534" s="143">
        <v>1020</v>
      </c>
      <c r="W534" s="16">
        <v>52</v>
      </c>
      <c r="X534" s="2">
        <v>5.2</v>
      </c>
      <c r="Y534" s="2">
        <v>26</v>
      </c>
    </row>
    <row r="535" spans="18:25" ht="12.75">
      <c r="R535" s="142">
        <v>52.1</v>
      </c>
      <c r="S535" s="143">
        <v>1021</v>
      </c>
      <c r="W535" s="16">
        <v>52.1</v>
      </c>
      <c r="X535" s="2">
        <v>5.21</v>
      </c>
      <c r="Y535" s="2">
        <v>26.05</v>
      </c>
    </row>
    <row r="536" spans="18:25" ht="12.75">
      <c r="R536" s="142">
        <v>52.2</v>
      </c>
      <c r="S536" s="143">
        <v>1022</v>
      </c>
      <c r="W536" s="16">
        <v>52.2</v>
      </c>
      <c r="X536" s="2">
        <v>5.22</v>
      </c>
      <c r="Y536" s="2">
        <v>26.1</v>
      </c>
    </row>
    <row r="537" spans="18:25" ht="12.75">
      <c r="R537" s="142">
        <v>52.3</v>
      </c>
      <c r="S537" s="143">
        <v>1023</v>
      </c>
      <c r="W537" s="16">
        <v>52.3</v>
      </c>
      <c r="X537" s="2">
        <v>5.23</v>
      </c>
      <c r="Y537" s="2">
        <v>26.15</v>
      </c>
    </row>
    <row r="538" spans="18:25" ht="12.75">
      <c r="R538" s="142">
        <v>52.4</v>
      </c>
      <c r="S538" s="143">
        <v>1024</v>
      </c>
      <c r="W538" s="16">
        <v>52.4</v>
      </c>
      <c r="X538" s="2">
        <v>5.24</v>
      </c>
      <c r="Y538" s="2">
        <v>26.2</v>
      </c>
    </row>
    <row r="539" spans="18:25" ht="12.75">
      <c r="R539" s="142">
        <v>52.5</v>
      </c>
      <c r="S539" s="143">
        <v>1025</v>
      </c>
      <c r="W539" s="16">
        <v>52.5</v>
      </c>
      <c r="X539" s="2">
        <v>5.25</v>
      </c>
      <c r="Y539" s="2">
        <v>26.25</v>
      </c>
    </row>
    <row r="540" spans="18:25" ht="12.75">
      <c r="R540" s="142">
        <v>52.6</v>
      </c>
      <c r="S540" s="143">
        <v>1026</v>
      </c>
      <c r="W540" s="16">
        <v>52.6</v>
      </c>
      <c r="X540" s="2">
        <v>5.26</v>
      </c>
      <c r="Y540" s="2">
        <v>26.3</v>
      </c>
    </row>
    <row r="541" spans="18:25" ht="12.75">
      <c r="R541" s="142">
        <v>52.7</v>
      </c>
      <c r="S541" s="143">
        <v>1027</v>
      </c>
      <c r="W541" s="16">
        <v>52.7</v>
      </c>
      <c r="X541" s="2">
        <v>5.27</v>
      </c>
      <c r="Y541" s="2">
        <v>26.35</v>
      </c>
    </row>
    <row r="542" spans="18:25" ht="12.75">
      <c r="R542" s="142">
        <v>52.8</v>
      </c>
      <c r="S542" s="143">
        <v>1028</v>
      </c>
      <c r="W542" s="16">
        <v>52.8</v>
      </c>
      <c r="X542" s="2">
        <v>5.28</v>
      </c>
      <c r="Y542" s="2">
        <v>26.4</v>
      </c>
    </row>
    <row r="543" spans="18:25" ht="12.75">
      <c r="R543" s="142">
        <v>52.9</v>
      </c>
      <c r="S543" s="143">
        <v>1029</v>
      </c>
      <c r="W543" s="16">
        <v>52.9</v>
      </c>
      <c r="X543" s="2">
        <v>5.29</v>
      </c>
      <c r="Y543" s="2">
        <v>26.45</v>
      </c>
    </row>
    <row r="544" spans="18:25" ht="12.75">
      <c r="R544" s="142">
        <v>53</v>
      </c>
      <c r="S544" s="143">
        <v>1030</v>
      </c>
      <c r="W544" s="16">
        <v>53</v>
      </c>
      <c r="X544" s="2">
        <v>5.3</v>
      </c>
      <c r="Y544" s="2">
        <v>26.5</v>
      </c>
    </row>
    <row r="545" spans="18:25" ht="12.75">
      <c r="R545" s="142">
        <v>53.1</v>
      </c>
      <c r="S545" s="143">
        <v>1031</v>
      </c>
      <c r="W545" s="16">
        <v>53.1</v>
      </c>
      <c r="X545" s="2">
        <v>5.31</v>
      </c>
      <c r="Y545" s="2">
        <v>26.55</v>
      </c>
    </row>
    <row r="546" spans="18:25" ht="12.75">
      <c r="R546" s="142">
        <v>53.2</v>
      </c>
      <c r="S546" s="143">
        <v>1032</v>
      </c>
      <c r="W546" s="16">
        <v>53.2</v>
      </c>
      <c r="X546" s="2">
        <v>5.32</v>
      </c>
      <c r="Y546" s="2">
        <v>26.6</v>
      </c>
    </row>
    <row r="547" spans="18:25" ht="12.75">
      <c r="R547" s="142">
        <v>53.3</v>
      </c>
      <c r="S547" s="143">
        <v>1033</v>
      </c>
      <c r="W547" s="16">
        <v>53.3</v>
      </c>
      <c r="X547" s="2">
        <v>5.33</v>
      </c>
      <c r="Y547" s="2">
        <v>26.65</v>
      </c>
    </row>
    <row r="548" spans="18:25" ht="12.75">
      <c r="R548" s="142">
        <v>53.4</v>
      </c>
      <c r="S548" s="143">
        <v>1034</v>
      </c>
      <c r="W548" s="16">
        <v>53.4</v>
      </c>
      <c r="X548" s="2">
        <v>5.34</v>
      </c>
      <c r="Y548" s="2">
        <v>26.7</v>
      </c>
    </row>
    <row r="549" spans="18:25" ht="12.75">
      <c r="R549" s="142">
        <v>53.5</v>
      </c>
      <c r="S549" s="143">
        <v>1035</v>
      </c>
      <c r="W549" s="16">
        <v>53.5</v>
      </c>
      <c r="X549" s="2">
        <v>5.35</v>
      </c>
      <c r="Y549" s="2">
        <v>26.75</v>
      </c>
    </row>
    <row r="550" spans="18:25" ht="12.75">
      <c r="R550" s="142">
        <v>53.6</v>
      </c>
      <c r="S550" s="143">
        <v>1036</v>
      </c>
      <c r="W550" s="16">
        <v>53.6</v>
      </c>
      <c r="X550" s="2">
        <v>5.36</v>
      </c>
      <c r="Y550" s="2">
        <v>26.8</v>
      </c>
    </row>
    <row r="551" spans="18:25" ht="12.75">
      <c r="R551" s="142">
        <v>53.7</v>
      </c>
      <c r="S551" s="143">
        <v>1037</v>
      </c>
      <c r="W551" s="16">
        <v>53.7</v>
      </c>
      <c r="X551" s="2">
        <v>5.37</v>
      </c>
      <c r="Y551" s="2">
        <v>26.85</v>
      </c>
    </row>
    <row r="552" spans="18:25" ht="12.75">
      <c r="R552" s="142">
        <v>53.8</v>
      </c>
      <c r="S552" s="143">
        <v>1038</v>
      </c>
      <c r="W552" s="16">
        <v>53.8</v>
      </c>
      <c r="X552" s="2">
        <v>5.38</v>
      </c>
      <c r="Y552" s="2">
        <v>26.9</v>
      </c>
    </row>
    <row r="553" spans="18:25" ht="12.75">
      <c r="R553" s="142">
        <v>53.9</v>
      </c>
      <c r="S553" s="143">
        <v>1039</v>
      </c>
      <c r="W553" s="16">
        <v>53.9</v>
      </c>
      <c r="X553" s="2">
        <v>5.39</v>
      </c>
      <c r="Y553" s="2">
        <v>26.95</v>
      </c>
    </row>
    <row r="554" spans="18:25" ht="12.75">
      <c r="R554" s="142">
        <v>54</v>
      </c>
      <c r="S554" s="143">
        <v>1040</v>
      </c>
      <c r="W554" s="16">
        <v>54</v>
      </c>
      <c r="X554" s="2">
        <v>5.4</v>
      </c>
      <c r="Y554" s="2">
        <v>27</v>
      </c>
    </row>
    <row r="555" spans="18:25" ht="12.75">
      <c r="R555" s="142">
        <v>54.1</v>
      </c>
      <c r="S555" s="143">
        <v>1041</v>
      </c>
      <c r="W555" s="16">
        <v>54.1</v>
      </c>
      <c r="X555" s="2">
        <v>5.41</v>
      </c>
      <c r="Y555" s="2">
        <v>27.05</v>
      </c>
    </row>
    <row r="556" spans="18:25" ht="12.75">
      <c r="R556" s="142">
        <v>54.2</v>
      </c>
      <c r="S556" s="143">
        <v>1042</v>
      </c>
      <c r="W556" s="16">
        <v>54.2</v>
      </c>
      <c r="X556" s="2">
        <v>5.42</v>
      </c>
      <c r="Y556" s="2">
        <v>27.1</v>
      </c>
    </row>
    <row r="557" spans="18:25" ht="12.75">
      <c r="R557" s="142">
        <v>54.3</v>
      </c>
      <c r="S557" s="143">
        <v>1043</v>
      </c>
      <c r="W557" s="16">
        <v>54.3</v>
      </c>
      <c r="X557" s="2">
        <v>5.43</v>
      </c>
      <c r="Y557" s="2">
        <v>27.15</v>
      </c>
    </row>
    <row r="558" spans="18:25" ht="12.75">
      <c r="R558" s="142">
        <v>54.4</v>
      </c>
      <c r="S558" s="143">
        <v>1044</v>
      </c>
      <c r="W558" s="16">
        <v>54.4</v>
      </c>
      <c r="X558" s="2">
        <v>5.44</v>
      </c>
      <c r="Y558" s="2">
        <v>27.2</v>
      </c>
    </row>
    <row r="559" spans="18:25" ht="12.75">
      <c r="R559" s="142">
        <v>54.5</v>
      </c>
      <c r="S559" s="143">
        <v>1045</v>
      </c>
      <c r="W559" s="16">
        <v>54.5</v>
      </c>
      <c r="X559" s="2">
        <v>5.45</v>
      </c>
      <c r="Y559" s="2">
        <v>27.25</v>
      </c>
    </row>
    <row r="560" spans="18:25" ht="12.75">
      <c r="R560" s="142">
        <v>54.6</v>
      </c>
      <c r="S560" s="143">
        <v>1046</v>
      </c>
      <c r="W560" s="16">
        <v>54.6</v>
      </c>
      <c r="X560" s="2">
        <v>5.46</v>
      </c>
      <c r="Y560" s="2">
        <v>27.3</v>
      </c>
    </row>
    <row r="561" spans="18:25" ht="12.75">
      <c r="R561" s="142">
        <v>54.7</v>
      </c>
      <c r="S561" s="143">
        <v>1047</v>
      </c>
      <c r="W561" s="16">
        <v>54.7</v>
      </c>
      <c r="X561" s="2">
        <v>5.47</v>
      </c>
      <c r="Y561" s="2">
        <v>27.35</v>
      </c>
    </row>
    <row r="562" spans="18:25" ht="12.75">
      <c r="R562" s="142">
        <v>54.8</v>
      </c>
      <c r="S562" s="143">
        <v>1048</v>
      </c>
      <c r="W562" s="16">
        <v>54.8</v>
      </c>
      <c r="X562" s="2">
        <v>5.48</v>
      </c>
      <c r="Y562" s="2">
        <v>27.4</v>
      </c>
    </row>
    <row r="563" spans="18:25" ht="12.75">
      <c r="R563" s="142">
        <v>54.9</v>
      </c>
      <c r="S563" s="143">
        <v>1049</v>
      </c>
      <c r="W563" s="16">
        <v>54.9</v>
      </c>
      <c r="X563" s="2">
        <v>5.49</v>
      </c>
      <c r="Y563" s="2">
        <v>27.45</v>
      </c>
    </row>
    <row r="564" spans="18:25" ht="12.75">
      <c r="R564" s="142">
        <v>55</v>
      </c>
      <c r="S564" s="143">
        <v>1050</v>
      </c>
      <c r="W564" s="16">
        <v>55</v>
      </c>
      <c r="X564" s="2">
        <v>5.5</v>
      </c>
      <c r="Y564" s="2">
        <v>27.5</v>
      </c>
    </row>
    <row r="565" spans="18:25" ht="12.75">
      <c r="R565" s="142">
        <v>55.1</v>
      </c>
      <c r="S565" s="143">
        <v>1051</v>
      </c>
      <c r="W565" s="16">
        <v>55.1</v>
      </c>
      <c r="X565" s="2">
        <v>5.51</v>
      </c>
      <c r="Y565" s="2">
        <v>27.55</v>
      </c>
    </row>
    <row r="566" spans="18:25" ht="12.75">
      <c r="R566" s="142">
        <v>55.2</v>
      </c>
      <c r="S566" s="143">
        <v>1052</v>
      </c>
      <c r="W566" s="16">
        <v>55.2</v>
      </c>
      <c r="X566" s="2">
        <v>5.52</v>
      </c>
      <c r="Y566" s="2">
        <v>27.6</v>
      </c>
    </row>
    <row r="567" spans="18:25" ht="12.75">
      <c r="R567" s="142">
        <v>55.3</v>
      </c>
      <c r="S567" s="143">
        <v>1053</v>
      </c>
      <c r="W567" s="16">
        <v>55.3</v>
      </c>
      <c r="X567" s="2">
        <v>5.53</v>
      </c>
      <c r="Y567" s="2">
        <v>27.65</v>
      </c>
    </row>
    <row r="568" spans="18:25" ht="12.75">
      <c r="R568" s="142">
        <v>55.4</v>
      </c>
      <c r="S568" s="143">
        <v>1054</v>
      </c>
      <c r="W568" s="16">
        <v>55.4</v>
      </c>
      <c r="X568" s="2">
        <v>5.54</v>
      </c>
      <c r="Y568" s="2">
        <v>27.7</v>
      </c>
    </row>
    <row r="569" spans="18:25" ht="12.75">
      <c r="R569" s="142">
        <v>55.5</v>
      </c>
      <c r="S569" s="143">
        <v>1055</v>
      </c>
      <c r="W569" s="16">
        <v>55.5</v>
      </c>
      <c r="X569" s="2">
        <v>5.55</v>
      </c>
      <c r="Y569" s="2">
        <v>27.75</v>
      </c>
    </row>
    <row r="570" spans="18:25" ht="12.75">
      <c r="R570" s="142">
        <v>55.6</v>
      </c>
      <c r="S570" s="143">
        <v>1056</v>
      </c>
      <c r="W570" s="16">
        <v>55.6</v>
      </c>
      <c r="X570" s="2">
        <v>5.56</v>
      </c>
      <c r="Y570" s="2">
        <v>27.8</v>
      </c>
    </row>
    <row r="571" spans="18:25" ht="12.75">
      <c r="R571" s="142">
        <v>55.7</v>
      </c>
      <c r="S571" s="143">
        <v>1057</v>
      </c>
      <c r="W571" s="16">
        <v>55.7</v>
      </c>
      <c r="X571" s="2">
        <v>5.57</v>
      </c>
      <c r="Y571" s="2">
        <v>27.85</v>
      </c>
    </row>
    <row r="572" spans="18:25" ht="12.75">
      <c r="R572" s="142">
        <v>55.8</v>
      </c>
      <c r="S572" s="143">
        <v>1058</v>
      </c>
      <c r="W572" s="16">
        <v>55.8</v>
      </c>
      <c r="X572" s="2">
        <v>5.58</v>
      </c>
      <c r="Y572" s="2">
        <v>27.9</v>
      </c>
    </row>
    <row r="573" spans="18:25" ht="12.75">
      <c r="R573" s="142">
        <v>55.9</v>
      </c>
      <c r="S573" s="143">
        <v>1059</v>
      </c>
      <c r="W573" s="16">
        <v>55.9</v>
      </c>
      <c r="X573" s="2">
        <v>5.59</v>
      </c>
      <c r="Y573" s="2">
        <v>27.95</v>
      </c>
    </row>
    <row r="574" spans="18:25" ht="12.75">
      <c r="R574" s="142">
        <v>56</v>
      </c>
      <c r="S574" s="143">
        <v>1060</v>
      </c>
      <c r="W574" s="16">
        <v>56</v>
      </c>
      <c r="X574" s="2">
        <v>5.6</v>
      </c>
      <c r="Y574" s="2">
        <v>28</v>
      </c>
    </row>
    <row r="575" spans="18:25" ht="12.75">
      <c r="R575" s="142">
        <v>56.1</v>
      </c>
      <c r="S575" s="143">
        <v>1061</v>
      </c>
      <c r="W575" s="16">
        <v>56.1</v>
      </c>
      <c r="X575" s="2">
        <v>5.61</v>
      </c>
      <c r="Y575" s="2">
        <v>28.05</v>
      </c>
    </row>
    <row r="576" spans="18:25" ht="12.75">
      <c r="R576" s="142">
        <v>56.2</v>
      </c>
      <c r="S576" s="143">
        <v>1062</v>
      </c>
      <c r="W576" s="16">
        <v>56.2</v>
      </c>
      <c r="X576" s="2">
        <v>5.62</v>
      </c>
      <c r="Y576" s="2">
        <v>28.1</v>
      </c>
    </row>
    <row r="577" spans="18:25" ht="12.75">
      <c r="R577" s="142">
        <v>56.3</v>
      </c>
      <c r="S577" s="143">
        <v>1063</v>
      </c>
      <c r="W577" s="16">
        <v>56.3</v>
      </c>
      <c r="X577" s="2">
        <v>5.63</v>
      </c>
      <c r="Y577" s="2">
        <v>28.15</v>
      </c>
    </row>
    <row r="578" spans="18:25" ht="12.75">
      <c r="R578" s="142">
        <v>56.4</v>
      </c>
      <c r="S578" s="143">
        <v>1064</v>
      </c>
      <c r="W578" s="16">
        <v>56.4</v>
      </c>
      <c r="X578" s="2">
        <v>5.64</v>
      </c>
      <c r="Y578" s="2">
        <v>28.2</v>
      </c>
    </row>
    <row r="579" spans="18:25" ht="12.75">
      <c r="R579" s="142">
        <v>56.5</v>
      </c>
      <c r="S579" s="143">
        <v>1065</v>
      </c>
      <c r="W579" s="16">
        <v>56.5</v>
      </c>
      <c r="X579" s="2">
        <v>5.65</v>
      </c>
      <c r="Y579" s="2">
        <v>28.25</v>
      </c>
    </row>
    <row r="580" spans="18:25" ht="12.75">
      <c r="R580" s="142">
        <v>56.6</v>
      </c>
      <c r="S580" s="143">
        <v>1066</v>
      </c>
      <c r="W580" s="16">
        <v>56.6</v>
      </c>
      <c r="X580" s="2">
        <v>5.66</v>
      </c>
      <c r="Y580" s="2">
        <v>28.3</v>
      </c>
    </row>
    <row r="581" spans="18:25" ht="12.75">
      <c r="R581" s="142">
        <v>56.7</v>
      </c>
      <c r="S581" s="143">
        <v>1067</v>
      </c>
      <c r="W581" s="16">
        <v>56.7</v>
      </c>
      <c r="X581" s="2">
        <v>5.67</v>
      </c>
      <c r="Y581" s="2">
        <v>28.35</v>
      </c>
    </row>
    <row r="582" spans="18:25" ht="12.75">
      <c r="R582" s="142">
        <v>56.8</v>
      </c>
      <c r="S582" s="143">
        <v>1068</v>
      </c>
      <c r="W582" s="16">
        <v>56.8</v>
      </c>
      <c r="X582" s="2">
        <v>5.68</v>
      </c>
      <c r="Y582" s="2">
        <v>28.4</v>
      </c>
    </row>
    <row r="583" spans="18:25" ht="12.75">
      <c r="R583" s="142">
        <v>56.9</v>
      </c>
      <c r="S583" s="143">
        <v>1069</v>
      </c>
      <c r="W583" s="16">
        <v>56.9</v>
      </c>
      <c r="X583" s="2">
        <v>5.69</v>
      </c>
      <c r="Y583" s="2">
        <v>28.45</v>
      </c>
    </row>
    <row r="584" spans="18:25" ht="12.75">
      <c r="R584" s="142">
        <v>57</v>
      </c>
      <c r="S584" s="143">
        <v>1070</v>
      </c>
      <c r="W584" s="16">
        <v>57</v>
      </c>
      <c r="X584" s="2">
        <v>5.7</v>
      </c>
      <c r="Y584" s="2">
        <v>28.5</v>
      </c>
    </row>
    <row r="585" spans="18:25" ht="12.75">
      <c r="R585" s="142">
        <v>57.1</v>
      </c>
      <c r="S585" s="143">
        <v>1071</v>
      </c>
      <c r="W585" s="16">
        <v>57.1</v>
      </c>
      <c r="X585" s="2">
        <v>5.71</v>
      </c>
      <c r="Y585" s="2">
        <v>28.55</v>
      </c>
    </row>
    <row r="586" spans="18:25" ht="12.75">
      <c r="R586" s="142">
        <v>57.2</v>
      </c>
      <c r="S586" s="143">
        <v>1072</v>
      </c>
      <c r="W586" s="16">
        <v>57.2</v>
      </c>
      <c r="X586" s="2">
        <v>5.72</v>
      </c>
      <c r="Y586" s="2">
        <v>28.6</v>
      </c>
    </row>
    <row r="587" spans="18:25" ht="12.75">
      <c r="R587" s="142">
        <v>57.3</v>
      </c>
      <c r="S587" s="143">
        <v>1073</v>
      </c>
      <c r="W587" s="16">
        <v>57.3</v>
      </c>
      <c r="X587" s="2">
        <v>5.73</v>
      </c>
      <c r="Y587" s="2">
        <v>28.65</v>
      </c>
    </row>
    <row r="588" spans="18:25" ht="12.75">
      <c r="R588" s="142">
        <v>57.4</v>
      </c>
      <c r="S588" s="143">
        <v>1074</v>
      </c>
      <c r="W588" s="16">
        <v>57.4</v>
      </c>
      <c r="X588" s="2">
        <v>5.74</v>
      </c>
      <c r="Y588" s="2">
        <v>28.7</v>
      </c>
    </row>
    <row r="589" spans="18:25" ht="12.75">
      <c r="R589" s="142">
        <v>57.5</v>
      </c>
      <c r="S589" s="143">
        <v>1075</v>
      </c>
      <c r="W589" s="16">
        <v>57.5</v>
      </c>
      <c r="X589" s="2">
        <v>5.75</v>
      </c>
      <c r="Y589" s="2">
        <v>28.75</v>
      </c>
    </row>
    <row r="590" spans="18:25" ht="12.75">
      <c r="R590" s="142">
        <v>57.6</v>
      </c>
      <c r="S590" s="143">
        <v>1076</v>
      </c>
      <c r="W590" s="16">
        <v>57.6</v>
      </c>
      <c r="X590" s="2">
        <v>5.76</v>
      </c>
      <c r="Y590" s="2">
        <v>28.8</v>
      </c>
    </row>
    <row r="591" spans="18:25" ht="12.75">
      <c r="R591" s="142">
        <v>57.7</v>
      </c>
      <c r="S591" s="143">
        <v>1077</v>
      </c>
      <c r="W591" s="16">
        <v>57.7</v>
      </c>
      <c r="X591" s="2">
        <v>5.77</v>
      </c>
      <c r="Y591" s="2">
        <v>28.85</v>
      </c>
    </row>
    <row r="592" spans="18:25" ht="12.75">
      <c r="R592" s="142">
        <v>57.8</v>
      </c>
      <c r="S592" s="143">
        <v>1078</v>
      </c>
      <c r="W592" s="16">
        <v>57.8</v>
      </c>
      <c r="X592" s="2">
        <v>5.78</v>
      </c>
      <c r="Y592" s="2">
        <v>28.9</v>
      </c>
    </row>
    <row r="593" spans="18:25" ht="12.75">
      <c r="R593" s="142">
        <v>57.9</v>
      </c>
      <c r="S593" s="143">
        <v>1079</v>
      </c>
      <c r="W593" s="16">
        <v>57.9</v>
      </c>
      <c r="X593" s="2">
        <v>5.79</v>
      </c>
      <c r="Y593" s="2">
        <v>28.95</v>
      </c>
    </row>
    <row r="594" spans="18:25" ht="12.75">
      <c r="R594" s="142">
        <v>58</v>
      </c>
      <c r="S594" s="143">
        <v>1080</v>
      </c>
      <c r="W594" s="16">
        <v>58</v>
      </c>
      <c r="X594" s="2">
        <v>5.8</v>
      </c>
      <c r="Y594" s="2">
        <v>29</v>
      </c>
    </row>
    <row r="595" spans="18:25" ht="12.75">
      <c r="R595" s="142">
        <v>58.1</v>
      </c>
      <c r="S595" s="143">
        <v>1081</v>
      </c>
      <c r="W595" s="16">
        <v>58.1</v>
      </c>
      <c r="X595" s="2">
        <v>5.81</v>
      </c>
      <c r="Y595" s="2">
        <v>29.05</v>
      </c>
    </row>
    <row r="596" spans="18:25" ht="12.75">
      <c r="R596" s="142">
        <v>58.2</v>
      </c>
      <c r="S596" s="143">
        <v>1082</v>
      </c>
      <c r="W596" s="16">
        <v>58.2</v>
      </c>
      <c r="X596" s="2">
        <v>5.82</v>
      </c>
      <c r="Y596" s="2">
        <v>29.1</v>
      </c>
    </row>
    <row r="597" spans="18:25" ht="12.75">
      <c r="R597" s="142">
        <v>58.3</v>
      </c>
      <c r="S597" s="143">
        <v>1083</v>
      </c>
      <c r="W597" s="16">
        <v>58.3</v>
      </c>
      <c r="X597" s="2">
        <v>5.83</v>
      </c>
      <c r="Y597" s="2">
        <v>29.15</v>
      </c>
    </row>
    <row r="598" spans="18:25" ht="12.75">
      <c r="R598" s="142">
        <v>58.4</v>
      </c>
      <c r="S598" s="143">
        <v>1084</v>
      </c>
      <c r="W598" s="16">
        <v>58.4</v>
      </c>
      <c r="X598" s="2">
        <v>5.84</v>
      </c>
      <c r="Y598" s="2">
        <v>29.2</v>
      </c>
    </row>
    <row r="599" spans="18:25" ht="12.75">
      <c r="R599" s="142">
        <v>58.5</v>
      </c>
      <c r="S599" s="143">
        <v>1085</v>
      </c>
      <c r="W599" s="16">
        <v>58.5</v>
      </c>
      <c r="X599" s="2">
        <v>5.85</v>
      </c>
      <c r="Y599" s="2">
        <v>29.25</v>
      </c>
    </row>
    <row r="600" spans="18:25" ht="12.75">
      <c r="R600" s="142">
        <v>58.6</v>
      </c>
      <c r="S600" s="143">
        <v>1086</v>
      </c>
      <c r="W600" s="16">
        <v>58.6</v>
      </c>
      <c r="X600" s="2">
        <v>5.86</v>
      </c>
      <c r="Y600" s="2">
        <v>29.3</v>
      </c>
    </row>
    <row r="601" spans="18:25" ht="12.75">
      <c r="R601" s="142">
        <v>58.7</v>
      </c>
      <c r="S601" s="143">
        <v>1087</v>
      </c>
      <c r="W601" s="16">
        <v>58.7</v>
      </c>
      <c r="X601" s="2">
        <v>5.87</v>
      </c>
      <c r="Y601" s="2">
        <v>29.35</v>
      </c>
    </row>
    <row r="602" spans="18:25" ht="12.75">
      <c r="R602" s="142">
        <v>58.8</v>
      </c>
      <c r="S602" s="143">
        <v>1088</v>
      </c>
      <c r="W602" s="16">
        <v>58.8</v>
      </c>
      <c r="X602" s="2">
        <v>5.88</v>
      </c>
      <c r="Y602" s="2">
        <v>29.4</v>
      </c>
    </row>
    <row r="603" spans="18:25" ht="12.75">
      <c r="R603" s="142">
        <v>58.9</v>
      </c>
      <c r="S603" s="143">
        <v>1089</v>
      </c>
      <c r="W603" s="16">
        <v>58.9</v>
      </c>
      <c r="X603" s="2">
        <v>5.89</v>
      </c>
      <c r="Y603" s="2">
        <v>29.45</v>
      </c>
    </row>
    <row r="604" spans="18:25" ht="12.75">
      <c r="R604" s="142">
        <v>59</v>
      </c>
      <c r="S604" s="143">
        <v>1090</v>
      </c>
      <c r="W604" s="16">
        <v>59</v>
      </c>
      <c r="X604" s="2">
        <v>5.9</v>
      </c>
      <c r="Y604" s="2">
        <v>29.5</v>
      </c>
    </row>
    <row r="605" spans="18:25" ht="12.75">
      <c r="R605" s="142">
        <v>59.1</v>
      </c>
      <c r="S605" s="143">
        <v>1091</v>
      </c>
      <c r="W605" s="16">
        <v>59.1</v>
      </c>
      <c r="X605" s="2">
        <v>5.91</v>
      </c>
      <c r="Y605" s="2">
        <v>29.55</v>
      </c>
    </row>
    <row r="606" spans="18:25" ht="12.75">
      <c r="R606" s="142">
        <v>59.2</v>
      </c>
      <c r="S606" s="143">
        <v>1092</v>
      </c>
      <c r="W606" s="16">
        <v>59.2</v>
      </c>
      <c r="X606" s="2">
        <v>5.92</v>
      </c>
      <c r="Y606" s="2">
        <v>29.6</v>
      </c>
    </row>
    <row r="607" spans="18:25" ht="12.75">
      <c r="R607" s="142">
        <v>59.3</v>
      </c>
      <c r="S607" s="143">
        <v>1093</v>
      </c>
      <c r="W607" s="16">
        <v>59.3</v>
      </c>
      <c r="X607" s="2">
        <v>5.93</v>
      </c>
      <c r="Y607" s="2">
        <v>29.65</v>
      </c>
    </row>
    <row r="608" spans="18:25" ht="12.75">
      <c r="R608" s="142">
        <v>59.4</v>
      </c>
      <c r="S608" s="143">
        <v>1094</v>
      </c>
      <c r="W608" s="16">
        <v>59.4</v>
      </c>
      <c r="X608" s="2">
        <v>5.94</v>
      </c>
      <c r="Y608" s="2">
        <v>29.7</v>
      </c>
    </row>
    <row r="609" spans="18:25" ht="12.75">
      <c r="R609" s="142">
        <v>59.5</v>
      </c>
      <c r="S609" s="143">
        <v>1095</v>
      </c>
      <c r="W609" s="16">
        <v>59.5</v>
      </c>
      <c r="X609" s="2">
        <v>5.95</v>
      </c>
      <c r="Y609" s="2">
        <v>29.75</v>
      </c>
    </row>
    <row r="610" spans="18:25" ht="12.75">
      <c r="R610" s="142">
        <v>59.6</v>
      </c>
      <c r="S610" s="143">
        <v>1096</v>
      </c>
      <c r="W610" s="16">
        <v>59.6</v>
      </c>
      <c r="X610" s="2">
        <v>5.96</v>
      </c>
      <c r="Y610" s="2">
        <v>29.8</v>
      </c>
    </row>
    <row r="611" spans="18:25" ht="12.75">
      <c r="R611" s="142">
        <v>59.7</v>
      </c>
      <c r="S611" s="143">
        <v>1097</v>
      </c>
      <c r="W611" s="16">
        <v>59.7</v>
      </c>
      <c r="X611" s="2">
        <v>5.97</v>
      </c>
      <c r="Y611" s="2">
        <v>29.85</v>
      </c>
    </row>
    <row r="612" spans="18:25" ht="12.75">
      <c r="R612" s="142">
        <v>59.8</v>
      </c>
      <c r="S612" s="143">
        <v>1098</v>
      </c>
      <c r="W612" s="16">
        <v>59.8</v>
      </c>
      <c r="X612" s="2">
        <v>5.98</v>
      </c>
      <c r="Y612" s="2">
        <v>29.9</v>
      </c>
    </row>
    <row r="613" spans="18:25" ht="12.75">
      <c r="R613" s="142">
        <v>59.9</v>
      </c>
      <c r="S613" s="143">
        <v>1099</v>
      </c>
      <c r="W613" s="16">
        <v>59.9</v>
      </c>
      <c r="X613" s="2">
        <v>5.99</v>
      </c>
      <c r="Y613" s="2">
        <v>29.95</v>
      </c>
    </row>
    <row r="614" spans="18:25" ht="12.75">
      <c r="R614" s="142">
        <v>60</v>
      </c>
      <c r="S614" s="143">
        <v>1100</v>
      </c>
      <c r="W614" s="16">
        <v>60</v>
      </c>
      <c r="X614" s="2">
        <v>6</v>
      </c>
      <c r="Y614" s="2">
        <v>30</v>
      </c>
    </row>
    <row r="615" spans="18:25" ht="12.75">
      <c r="R615" s="142">
        <v>60.1</v>
      </c>
      <c r="S615" s="143">
        <v>1101</v>
      </c>
      <c r="W615" s="16">
        <v>60.1</v>
      </c>
      <c r="X615" s="2">
        <v>6.01</v>
      </c>
      <c r="Y615" s="2">
        <v>30.05</v>
      </c>
    </row>
    <row r="616" spans="18:25" ht="12.75">
      <c r="R616" s="142">
        <v>60.2</v>
      </c>
      <c r="S616" s="143">
        <v>1102</v>
      </c>
      <c r="W616" s="16">
        <v>60.2</v>
      </c>
      <c r="X616" s="2">
        <v>6.02</v>
      </c>
      <c r="Y616" s="2">
        <v>30.1</v>
      </c>
    </row>
    <row r="617" spans="18:25" ht="12.75">
      <c r="R617" s="142">
        <v>60.3</v>
      </c>
      <c r="S617" s="143">
        <v>1103</v>
      </c>
      <c r="W617" s="16">
        <v>60.3</v>
      </c>
      <c r="X617" s="2">
        <v>6.03</v>
      </c>
      <c r="Y617" s="2">
        <v>30.15</v>
      </c>
    </row>
    <row r="618" spans="18:25" ht="12.75">
      <c r="R618" s="142">
        <v>60.4</v>
      </c>
      <c r="S618" s="143">
        <v>1104</v>
      </c>
      <c r="W618" s="16">
        <v>60.4</v>
      </c>
      <c r="X618" s="2">
        <v>6.04</v>
      </c>
      <c r="Y618" s="2">
        <v>30.2</v>
      </c>
    </row>
    <row r="619" spans="18:25" ht="12.75">
      <c r="R619" s="142">
        <v>60.5</v>
      </c>
      <c r="S619" s="143">
        <v>1105</v>
      </c>
      <c r="W619" s="16">
        <v>60.5</v>
      </c>
      <c r="X619" s="2">
        <v>6.05</v>
      </c>
      <c r="Y619" s="2">
        <v>30.25</v>
      </c>
    </row>
    <row r="620" spans="18:25" ht="12.75">
      <c r="R620" s="142">
        <v>60.6</v>
      </c>
      <c r="S620" s="143">
        <v>1106</v>
      </c>
      <c r="W620" s="16">
        <v>60.6</v>
      </c>
      <c r="X620" s="2">
        <v>6.06</v>
      </c>
      <c r="Y620" s="2">
        <v>30.3</v>
      </c>
    </row>
    <row r="621" spans="18:25" ht="12.75">
      <c r="R621" s="142">
        <v>60.7</v>
      </c>
      <c r="S621" s="143">
        <v>1107</v>
      </c>
      <c r="W621" s="16">
        <v>60.7</v>
      </c>
      <c r="X621" s="2">
        <v>6.07</v>
      </c>
      <c r="Y621" s="2">
        <v>30.35</v>
      </c>
    </row>
    <row r="622" spans="18:25" ht="12.75">
      <c r="R622" s="142">
        <v>60.8</v>
      </c>
      <c r="S622" s="143">
        <v>1108</v>
      </c>
      <c r="W622" s="16">
        <v>60.8</v>
      </c>
      <c r="X622" s="2">
        <v>6.08</v>
      </c>
      <c r="Y622" s="2">
        <v>30.4</v>
      </c>
    </row>
    <row r="623" spans="18:25" ht="12.75">
      <c r="R623" s="142">
        <v>60.9</v>
      </c>
      <c r="S623" s="143">
        <v>1109</v>
      </c>
      <c r="W623" s="16">
        <v>60.9</v>
      </c>
      <c r="X623" s="2">
        <v>6.09</v>
      </c>
      <c r="Y623" s="2">
        <v>30.45</v>
      </c>
    </row>
    <row r="624" spans="18:25" ht="12.75">
      <c r="R624" s="142">
        <v>61</v>
      </c>
      <c r="S624" s="143">
        <v>1110</v>
      </c>
      <c r="W624" s="16">
        <v>61</v>
      </c>
      <c r="X624" s="2">
        <v>6.1</v>
      </c>
      <c r="Y624" s="2">
        <v>30.5</v>
      </c>
    </row>
    <row r="625" spans="18:25" ht="12.75">
      <c r="R625" s="142">
        <v>61.1</v>
      </c>
      <c r="S625" s="143">
        <v>1111</v>
      </c>
      <c r="W625" s="16">
        <v>61.1</v>
      </c>
      <c r="X625" s="2">
        <v>6.11</v>
      </c>
      <c r="Y625" s="2">
        <v>30.55</v>
      </c>
    </row>
    <row r="626" spans="18:25" ht="12.75">
      <c r="R626" s="142">
        <v>61.2</v>
      </c>
      <c r="S626" s="143">
        <v>1112</v>
      </c>
      <c r="W626" s="16">
        <v>61.2</v>
      </c>
      <c r="X626" s="2">
        <v>6.12</v>
      </c>
      <c r="Y626" s="2">
        <v>30.6</v>
      </c>
    </row>
    <row r="627" spans="18:25" ht="12.75">
      <c r="R627" s="142">
        <v>61.3</v>
      </c>
      <c r="S627" s="143">
        <v>1113</v>
      </c>
      <c r="W627" s="16">
        <v>61.3</v>
      </c>
      <c r="X627" s="2">
        <v>6.13</v>
      </c>
      <c r="Y627" s="2">
        <v>30.65</v>
      </c>
    </row>
    <row r="628" spans="18:25" ht="12.75">
      <c r="R628" s="142">
        <v>61.4</v>
      </c>
      <c r="S628" s="143">
        <v>1114</v>
      </c>
      <c r="W628" s="16">
        <v>61.4</v>
      </c>
      <c r="X628" s="2">
        <v>6.14</v>
      </c>
      <c r="Y628" s="2">
        <v>30.7</v>
      </c>
    </row>
    <row r="629" spans="18:25" ht="12.75">
      <c r="R629" s="142">
        <v>61.5</v>
      </c>
      <c r="S629" s="143">
        <v>1115</v>
      </c>
      <c r="W629" s="16">
        <v>61.5</v>
      </c>
      <c r="X629" s="2">
        <v>6.15</v>
      </c>
      <c r="Y629" s="2">
        <v>30.75</v>
      </c>
    </row>
    <row r="630" spans="18:25" ht="12.75">
      <c r="R630" s="142">
        <v>61.6</v>
      </c>
      <c r="S630" s="143">
        <v>1116</v>
      </c>
      <c r="W630" s="16">
        <v>61.6</v>
      </c>
      <c r="X630" s="2">
        <v>6.16</v>
      </c>
      <c r="Y630" s="2">
        <v>30.8</v>
      </c>
    </row>
    <row r="631" spans="18:25" ht="12.75">
      <c r="R631" s="142">
        <v>61.7</v>
      </c>
      <c r="S631" s="143">
        <v>1117</v>
      </c>
      <c r="W631" s="16">
        <v>61.7</v>
      </c>
      <c r="X631" s="2">
        <v>6.17</v>
      </c>
      <c r="Y631" s="2">
        <v>30.85</v>
      </c>
    </row>
    <row r="632" spans="18:25" ht="12.75">
      <c r="R632" s="142">
        <v>61.8</v>
      </c>
      <c r="S632" s="143">
        <v>1118</v>
      </c>
      <c r="W632" s="16">
        <v>61.8</v>
      </c>
      <c r="X632" s="2">
        <v>6.18</v>
      </c>
      <c r="Y632" s="2">
        <v>30.9</v>
      </c>
    </row>
    <row r="633" spans="18:25" ht="12.75">
      <c r="R633" s="142">
        <v>61.9</v>
      </c>
      <c r="S633" s="143">
        <v>1119</v>
      </c>
      <c r="W633" s="16">
        <v>61.9</v>
      </c>
      <c r="X633" s="2">
        <v>6.19</v>
      </c>
      <c r="Y633" s="2">
        <v>30.95</v>
      </c>
    </row>
    <row r="634" spans="18:25" ht="12.75">
      <c r="R634" s="142">
        <v>62</v>
      </c>
      <c r="S634" s="143">
        <v>1120</v>
      </c>
      <c r="W634" s="16">
        <v>62</v>
      </c>
      <c r="X634" s="2">
        <v>6.2</v>
      </c>
      <c r="Y634" s="2">
        <v>31</v>
      </c>
    </row>
    <row r="635" spans="18:25" ht="12.75">
      <c r="R635" s="142">
        <v>62.1</v>
      </c>
      <c r="S635" s="143">
        <v>1121</v>
      </c>
      <c r="W635" s="16">
        <v>62.1</v>
      </c>
      <c r="X635" s="2">
        <v>6.21</v>
      </c>
      <c r="Y635" s="2">
        <v>31.05</v>
      </c>
    </row>
    <row r="636" spans="18:25" ht="12.75">
      <c r="R636" s="142">
        <v>62.2</v>
      </c>
      <c r="S636" s="143">
        <v>1122</v>
      </c>
      <c r="W636" s="16">
        <v>62.2</v>
      </c>
      <c r="X636" s="2">
        <v>6.22</v>
      </c>
      <c r="Y636" s="2">
        <v>31.1</v>
      </c>
    </row>
    <row r="637" spans="18:25" ht="12.75">
      <c r="R637" s="142">
        <v>62.3</v>
      </c>
      <c r="S637" s="143">
        <v>1123</v>
      </c>
      <c r="W637" s="16">
        <v>62.3</v>
      </c>
      <c r="X637" s="2">
        <v>6.23</v>
      </c>
      <c r="Y637" s="2">
        <v>31.15</v>
      </c>
    </row>
    <row r="638" spans="18:25" ht="12.75">
      <c r="R638" s="142">
        <v>62.4</v>
      </c>
      <c r="S638" s="143">
        <v>1124</v>
      </c>
      <c r="W638" s="16">
        <v>62.4</v>
      </c>
      <c r="X638" s="2">
        <v>6.24</v>
      </c>
      <c r="Y638" s="2">
        <v>31.2</v>
      </c>
    </row>
    <row r="639" spans="18:25" ht="12.75">
      <c r="R639" s="142">
        <v>62.5</v>
      </c>
      <c r="S639" s="143">
        <v>1125</v>
      </c>
      <c r="W639" s="16">
        <v>62.5</v>
      </c>
      <c r="X639" s="2">
        <v>6.25</v>
      </c>
      <c r="Y639" s="2">
        <v>31.25</v>
      </c>
    </row>
    <row r="640" spans="18:25" ht="12.75">
      <c r="R640" s="142">
        <v>62.6</v>
      </c>
      <c r="S640" s="143">
        <v>1126</v>
      </c>
      <c r="W640" s="16">
        <v>62.6</v>
      </c>
      <c r="X640" s="2">
        <v>6.26</v>
      </c>
      <c r="Y640" s="2">
        <v>31.3</v>
      </c>
    </row>
    <row r="641" spans="18:25" ht="12.75">
      <c r="R641" s="142">
        <v>62.7</v>
      </c>
      <c r="S641" s="143">
        <v>1127</v>
      </c>
      <c r="W641" s="16">
        <v>62.7</v>
      </c>
      <c r="X641" s="2">
        <v>6.27</v>
      </c>
      <c r="Y641" s="2">
        <v>31.35</v>
      </c>
    </row>
    <row r="642" spans="18:25" ht="12.75">
      <c r="R642" s="142">
        <v>62.8</v>
      </c>
      <c r="S642" s="143">
        <v>1128</v>
      </c>
      <c r="W642" s="16">
        <v>62.8</v>
      </c>
      <c r="X642" s="2">
        <v>6.28</v>
      </c>
      <c r="Y642" s="2">
        <v>31.4</v>
      </c>
    </row>
    <row r="643" spans="18:25" ht="12.75">
      <c r="R643" s="142">
        <v>62.9</v>
      </c>
      <c r="S643" s="143">
        <v>1129</v>
      </c>
      <c r="W643" s="16">
        <v>62.9</v>
      </c>
      <c r="X643" s="2">
        <v>6.29</v>
      </c>
      <c r="Y643" s="2">
        <v>31.45</v>
      </c>
    </row>
    <row r="644" spans="18:25" ht="12.75">
      <c r="R644" s="142">
        <v>63</v>
      </c>
      <c r="S644" s="143">
        <v>1130</v>
      </c>
      <c r="W644" s="16">
        <v>63</v>
      </c>
      <c r="X644" s="2">
        <v>6.3</v>
      </c>
      <c r="Y644" s="2">
        <v>31.5</v>
      </c>
    </row>
    <row r="645" spans="18:25" ht="12.75">
      <c r="R645" s="142">
        <v>63.1</v>
      </c>
      <c r="S645" s="143">
        <v>1131</v>
      </c>
      <c r="W645" s="16">
        <v>63.1</v>
      </c>
      <c r="X645" s="2">
        <v>6.31</v>
      </c>
      <c r="Y645" s="2">
        <v>31.55</v>
      </c>
    </row>
    <row r="646" spans="18:25" ht="12.75">
      <c r="R646" s="142">
        <v>63.2</v>
      </c>
      <c r="S646" s="143">
        <v>1132</v>
      </c>
      <c r="W646" s="16">
        <v>63.2</v>
      </c>
      <c r="X646" s="2">
        <v>6.32</v>
      </c>
      <c r="Y646" s="2">
        <v>31.6</v>
      </c>
    </row>
    <row r="647" spans="18:25" ht="12.75">
      <c r="R647" s="142">
        <v>63.3</v>
      </c>
      <c r="S647" s="143">
        <v>1133</v>
      </c>
      <c r="W647" s="16">
        <v>63.3</v>
      </c>
      <c r="X647" s="2">
        <v>6.33</v>
      </c>
      <c r="Y647" s="2">
        <v>31.65</v>
      </c>
    </row>
    <row r="648" spans="18:25" ht="12.75">
      <c r="R648" s="142">
        <v>63.4</v>
      </c>
      <c r="S648" s="143">
        <v>1134</v>
      </c>
      <c r="W648" s="16">
        <v>63.4</v>
      </c>
      <c r="X648" s="2">
        <v>6.34</v>
      </c>
      <c r="Y648" s="2">
        <v>31.7</v>
      </c>
    </row>
    <row r="649" spans="18:25" ht="12.75">
      <c r="R649" s="142">
        <v>63.5</v>
      </c>
      <c r="S649" s="143">
        <v>1135</v>
      </c>
      <c r="W649" s="16">
        <v>63.5</v>
      </c>
      <c r="X649" s="2">
        <v>6.35</v>
      </c>
      <c r="Y649" s="2">
        <v>31.75</v>
      </c>
    </row>
    <row r="650" spans="18:25" ht="12.75">
      <c r="R650" s="142">
        <v>63.6</v>
      </c>
      <c r="S650" s="143">
        <v>1136</v>
      </c>
      <c r="W650" s="16">
        <v>63.6</v>
      </c>
      <c r="X650" s="2">
        <v>6.36</v>
      </c>
      <c r="Y650" s="2">
        <v>31.8</v>
      </c>
    </row>
    <row r="651" spans="18:25" ht="12.75">
      <c r="R651" s="142">
        <v>63.7</v>
      </c>
      <c r="S651" s="143">
        <v>1137</v>
      </c>
      <c r="W651" s="16">
        <v>63.7</v>
      </c>
      <c r="X651" s="2">
        <v>6.37</v>
      </c>
      <c r="Y651" s="2">
        <v>31.85</v>
      </c>
    </row>
    <row r="652" spans="18:25" ht="12.75">
      <c r="R652" s="142">
        <v>63.8</v>
      </c>
      <c r="S652" s="143">
        <v>1138</v>
      </c>
      <c r="W652" s="16">
        <v>63.8</v>
      </c>
      <c r="X652" s="2">
        <v>6.38</v>
      </c>
      <c r="Y652" s="2">
        <v>31.9</v>
      </c>
    </row>
    <row r="653" spans="18:25" ht="12.75">
      <c r="R653" s="142">
        <v>63.9</v>
      </c>
      <c r="S653" s="143">
        <v>1139</v>
      </c>
      <c r="W653" s="16">
        <v>63.9</v>
      </c>
      <c r="X653" s="2">
        <v>6.39</v>
      </c>
      <c r="Y653" s="2">
        <v>31.95</v>
      </c>
    </row>
    <row r="654" spans="18:25" ht="12.75">
      <c r="R654" s="142">
        <v>64</v>
      </c>
      <c r="S654" s="143">
        <v>1140</v>
      </c>
      <c r="W654" s="16">
        <v>64</v>
      </c>
      <c r="X654" s="2">
        <v>6.4</v>
      </c>
      <c r="Y654" s="2">
        <v>32</v>
      </c>
    </row>
    <row r="655" spans="18:25" ht="12.75">
      <c r="R655" s="142">
        <v>64.1</v>
      </c>
      <c r="S655" s="143">
        <v>1141</v>
      </c>
      <c r="W655" s="16">
        <v>64.1</v>
      </c>
      <c r="X655" s="2">
        <v>6.41</v>
      </c>
      <c r="Y655" s="2">
        <v>32.05</v>
      </c>
    </row>
    <row r="656" spans="18:25" ht="12.75">
      <c r="R656" s="142">
        <v>64.2</v>
      </c>
      <c r="S656" s="143">
        <v>1142</v>
      </c>
      <c r="W656" s="16">
        <v>64.2</v>
      </c>
      <c r="X656" s="2">
        <v>6.42</v>
      </c>
      <c r="Y656" s="2">
        <v>32.1</v>
      </c>
    </row>
    <row r="657" spans="18:25" ht="12.75">
      <c r="R657" s="142">
        <v>64.3</v>
      </c>
      <c r="S657" s="143">
        <v>1143</v>
      </c>
      <c r="W657" s="16">
        <v>64.3</v>
      </c>
      <c r="X657" s="2">
        <v>6.43</v>
      </c>
      <c r="Y657" s="2">
        <v>32.15</v>
      </c>
    </row>
    <row r="658" spans="18:25" ht="12.75">
      <c r="R658" s="142">
        <v>64.4</v>
      </c>
      <c r="S658" s="143">
        <v>1144</v>
      </c>
      <c r="W658" s="16">
        <v>64.4</v>
      </c>
      <c r="X658" s="2">
        <v>6.44</v>
      </c>
      <c r="Y658" s="2">
        <v>32.2</v>
      </c>
    </row>
    <row r="659" spans="18:25" ht="12.75">
      <c r="R659" s="142">
        <v>64.5</v>
      </c>
      <c r="S659" s="143">
        <v>1145</v>
      </c>
      <c r="W659" s="16">
        <v>64.5</v>
      </c>
      <c r="X659" s="2">
        <v>6.45</v>
      </c>
      <c r="Y659" s="2">
        <v>32.25</v>
      </c>
    </row>
    <row r="660" spans="18:25" ht="12.75">
      <c r="R660" s="142">
        <v>64.6</v>
      </c>
      <c r="S660" s="143">
        <v>1146</v>
      </c>
      <c r="W660" s="16">
        <v>64.6</v>
      </c>
      <c r="X660" s="2">
        <v>6.46</v>
      </c>
      <c r="Y660" s="2">
        <v>32.3</v>
      </c>
    </row>
    <row r="661" spans="18:25" ht="12.75">
      <c r="R661" s="142">
        <v>64.7</v>
      </c>
      <c r="S661" s="143">
        <v>1147</v>
      </c>
      <c r="W661" s="16">
        <v>64.7</v>
      </c>
      <c r="X661" s="2">
        <v>6.47</v>
      </c>
      <c r="Y661" s="2">
        <v>32.35</v>
      </c>
    </row>
    <row r="662" spans="18:25" ht="12.75">
      <c r="R662" s="142">
        <v>64.8</v>
      </c>
      <c r="S662" s="143">
        <v>1148</v>
      </c>
      <c r="W662" s="16">
        <v>64.8</v>
      </c>
      <c r="X662" s="2">
        <v>6.48</v>
      </c>
      <c r="Y662" s="2">
        <v>32.4</v>
      </c>
    </row>
    <row r="663" spans="18:25" ht="12.75">
      <c r="R663" s="142">
        <v>64.9</v>
      </c>
      <c r="S663" s="143">
        <v>1149</v>
      </c>
      <c r="W663" s="16">
        <v>64.9</v>
      </c>
      <c r="X663" s="2">
        <v>6.49</v>
      </c>
      <c r="Y663" s="2">
        <v>32.45</v>
      </c>
    </row>
    <row r="664" spans="18:25" ht="12.75">
      <c r="R664" s="142">
        <v>65</v>
      </c>
      <c r="S664" s="143">
        <v>1150</v>
      </c>
      <c r="W664" s="16">
        <v>65</v>
      </c>
      <c r="X664" s="2">
        <v>6.5</v>
      </c>
      <c r="Y664" s="2">
        <v>32.5</v>
      </c>
    </row>
    <row r="665" spans="18:25" ht="12.75">
      <c r="R665" s="142">
        <v>65.1</v>
      </c>
      <c r="S665" s="143">
        <v>1151</v>
      </c>
      <c r="W665" s="16">
        <v>65.1</v>
      </c>
      <c r="X665" s="2">
        <v>6.51</v>
      </c>
      <c r="Y665" s="2">
        <v>32.55</v>
      </c>
    </row>
    <row r="666" spans="18:25" ht="12.75">
      <c r="R666" s="142">
        <v>65.2</v>
      </c>
      <c r="S666" s="143">
        <v>1152</v>
      </c>
      <c r="W666" s="16">
        <v>65.2</v>
      </c>
      <c r="X666" s="2">
        <v>6.52</v>
      </c>
      <c r="Y666" s="2">
        <v>32.6</v>
      </c>
    </row>
    <row r="667" spans="18:25" ht="12.75">
      <c r="R667" s="142">
        <v>65.3</v>
      </c>
      <c r="S667" s="143">
        <v>1153</v>
      </c>
      <c r="W667" s="16">
        <v>65.3</v>
      </c>
      <c r="X667" s="2">
        <v>6.53</v>
      </c>
      <c r="Y667" s="2">
        <v>32.65</v>
      </c>
    </row>
    <row r="668" spans="18:25" ht="12.75">
      <c r="R668" s="142">
        <v>65.4</v>
      </c>
      <c r="S668" s="143">
        <v>1154</v>
      </c>
      <c r="W668" s="16">
        <v>65.4</v>
      </c>
      <c r="X668" s="2">
        <v>6.54</v>
      </c>
      <c r="Y668" s="2">
        <v>32.7</v>
      </c>
    </row>
    <row r="669" spans="18:25" ht="12.75">
      <c r="R669" s="142">
        <v>65.5</v>
      </c>
      <c r="S669" s="143">
        <v>1155</v>
      </c>
      <c r="W669" s="16">
        <v>65.5</v>
      </c>
      <c r="X669" s="2">
        <v>6.55</v>
      </c>
      <c r="Y669" s="2">
        <v>32.75</v>
      </c>
    </row>
    <row r="670" spans="18:25" ht="12.75">
      <c r="R670" s="142">
        <v>65.6</v>
      </c>
      <c r="S670" s="143">
        <v>1156</v>
      </c>
      <c r="W670" s="16">
        <v>65.6</v>
      </c>
      <c r="X670" s="2">
        <v>6.56</v>
      </c>
      <c r="Y670" s="2">
        <v>32.8</v>
      </c>
    </row>
    <row r="671" spans="18:25" ht="12.75">
      <c r="R671" s="142">
        <v>65.7</v>
      </c>
      <c r="S671" s="143">
        <v>1157</v>
      </c>
      <c r="W671" s="16">
        <v>65.7</v>
      </c>
      <c r="X671" s="2">
        <v>6.57</v>
      </c>
      <c r="Y671" s="2">
        <v>32.85</v>
      </c>
    </row>
    <row r="672" spans="18:25" ht="12.75">
      <c r="R672" s="142">
        <v>65.8</v>
      </c>
      <c r="S672" s="143">
        <v>1158</v>
      </c>
      <c r="W672" s="16">
        <v>65.8</v>
      </c>
      <c r="X672" s="2">
        <v>6.58</v>
      </c>
      <c r="Y672" s="2">
        <v>32.9</v>
      </c>
    </row>
    <row r="673" spans="18:25" ht="12.75">
      <c r="R673" s="142">
        <v>65.9</v>
      </c>
      <c r="S673" s="143">
        <v>1159</v>
      </c>
      <c r="W673" s="16">
        <v>65.9</v>
      </c>
      <c r="X673" s="2">
        <v>6.59</v>
      </c>
      <c r="Y673" s="2">
        <v>32.95</v>
      </c>
    </row>
    <row r="674" spans="18:25" ht="12.75">
      <c r="R674" s="142">
        <v>66</v>
      </c>
      <c r="S674" s="143">
        <v>1160</v>
      </c>
      <c r="W674" s="16">
        <v>66</v>
      </c>
      <c r="X674" s="2">
        <v>6.6</v>
      </c>
      <c r="Y674" s="2">
        <v>33</v>
      </c>
    </row>
    <row r="675" spans="18:25" ht="12.75">
      <c r="R675" s="142">
        <v>66.1</v>
      </c>
      <c r="S675" s="143">
        <v>1161</v>
      </c>
      <c r="W675" s="16">
        <v>66.1</v>
      </c>
      <c r="X675" s="2">
        <v>6.61</v>
      </c>
      <c r="Y675" s="2">
        <v>33.05</v>
      </c>
    </row>
    <row r="676" spans="18:25" ht="12.75">
      <c r="R676" s="142">
        <v>66.2</v>
      </c>
      <c r="S676" s="143">
        <v>1162</v>
      </c>
      <c r="W676" s="16">
        <v>66.2</v>
      </c>
      <c r="X676" s="2">
        <v>6.62</v>
      </c>
      <c r="Y676" s="2">
        <v>33.1</v>
      </c>
    </row>
    <row r="677" spans="18:25" ht="12.75">
      <c r="R677" s="142">
        <v>66.3</v>
      </c>
      <c r="S677" s="143">
        <v>1163</v>
      </c>
      <c r="W677" s="16">
        <v>66.3</v>
      </c>
      <c r="X677" s="2">
        <v>6.63</v>
      </c>
      <c r="Y677" s="2">
        <v>33.15</v>
      </c>
    </row>
    <row r="678" spans="18:25" ht="12.75">
      <c r="R678" s="142">
        <v>66.4</v>
      </c>
      <c r="S678" s="143">
        <v>1164</v>
      </c>
      <c r="W678" s="16">
        <v>66.4</v>
      </c>
      <c r="X678" s="2">
        <v>6.64</v>
      </c>
      <c r="Y678" s="2">
        <v>33.2</v>
      </c>
    </row>
    <row r="679" spans="18:25" ht="12.75">
      <c r="R679" s="142">
        <v>66.5</v>
      </c>
      <c r="S679" s="143">
        <v>1165</v>
      </c>
      <c r="W679" s="16">
        <v>66.5</v>
      </c>
      <c r="X679" s="2">
        <v>6.65</v>
      </c>
      <c r="Y679" s="2">
        <v>33.25</v>
      </c>
    </row>
    <row r="680" spans="18:25" ht="12.75">
      <c r="R680" s="142">
        <v>66.6</v>
      </c>
      <c r="S680" s="143">
        <v>1166</v>
      </c>
      <c r="W680" s="16">
        <v>66.6</v>
      </c>
      <c r="X680" s="2">
        <v>6.66</v>
      </c>
      <c r="Y680" s="2">
        <v>33.3</v>
      </c>
    </row>
    <row r="681" spans="18:25" ht="12.75">
      <c r="R681" s="142">
        <v>66.7</v>
      </c>
      <c r="S681" s="143">
        <v>1167</v>
      </c>
      <c r="W681" s="16">
        <v>66.7</v>
      </c>
      <c r="X681" s="2">
        <v>6.67</v>
      </c>
      <c r="Y681" s="2">
        <v>33.35</v>
      </c>
    </row>
    <row r="682" spans="18:25" ht="12.75">
      <c r="R682" s="142">
        <v>66.8</v>
      </c>
      <c r="S682" s="143">
        <v>1168</v>
      </c>
      <c r="W682" s="16">
        <v>66.8</v>
      </c>
      <c r="X682" s="2">
        <v>6.68</v>
      </c>
      <c r="Y682" s="2">
        <v>33.4</v>
      </c>
    </row>
    <row r="683" spans="18:25" ht="12.75">
      <c r="R683" s="142">
        <v>66.9</v>
      </c>
      <c r="S683" s="143">
        <v>1169</v>
      </c>
      <c r="W683" s="16">
        <v>66.9</v>
      </c>
      <c r="X683" s="2">
        <v>6.69</v>
      </c>
      <c r="Y683" s="2">
        <v>33.45</v>
      </c>
    </row>
    <row r="684" spans="18:25" ht="12.75">
      <c r="R684" s="142">
        <v>67</v>
      </c>
      <c r="S684" s="143">
        <v>1170</v>
      </c>
      <c r="W684" s="16">
        <v>67</v>
      </c>
      <c r="X684" s="2">
        <v>6.7</v>
      </c>
      <c r="Y684" s="2">
        <v>33.5</v>
      </c>
    </row>
    <row r="685" spans="18:25" ht="12.75">
      <c r="R685" s="142">
        <v>67.1</v>
      </c>
      <c r="S685" s="143">
        <v>1171</v>
      </c>
      <c r="W685" s="16">
        <v>67.1</v>
      </c>
      <c r="X685" s="2">
        <v>6.71</v>
      </c>
      <c r="Y685" s="2">
        <v>33.55</v>
      </c>
    </row>
    <row r="686" spans="18:25" ht="12.75">
      <c r="R686" s="142">
        <v>67.2</v>
      </c>
      <c r="S686" s="143">
        <v>1172</v>
      </c>
      <c r="W686" s="16">
        <v>67.2</v>
      </c>
      <c r="X686" s="2">
        <v>6.72</v>
      </c>
      <c r="Y686" s="2">
        <v>33.6</v>
      </c>
    </row>
    <row r="687" spans="18:25" ht="12.75">
      <c r="R687" s="142">
        <v>67.3</v>
      </c>
      <c r="S687" s="143">
        <v>1173</v>
      </c>
      <c r="W687" s="16">
        <v>67.3</v>
      </c>
      <c r="X687" s="2">
        <v>6.73</v>
      </c>
      <c r="Y687" s="2">
        <v>33.65</v>
      </c>
    </row>
    <row r="688" spans="18:25" ht="12.75">
      <c r="R688" s="142">
        <v>67.4</v>
      </c>
      <c r="S688" s="143">
        <v>1174</v>
      </c>
      <c r="W688" s="16">
        <v>67.4</v>
      </c>
      <c r="X688" s="2">
        <v>6.74</v>
      </c>
      <c r="Y688" s="2">
        <v>33.7</v>
      </c>
    </row>
    <row r="689" spans="18:25" ht="12.75">
      <c r="R689" s="142">
        <v>67.5</v>
      </c>
      <c r="S689" s="143">
        <v>1175</v>
      </c>
      <c r="W689" s="16">
        <v>67.5</v>
      </c>
      <c r="X689" s="2">
        <v>6.75</v>
      </c>
      <c r="Y689" s="2">
        <v>33.75</v>
      </c>
    </row>
    <row r="690" spans="18:25" ht="12.75">
      <c r="R690" s="142">
        <v>67.6</v>
      </c>
      <c r="S690" s="143">
        <v>1176</v>
      </c>
      <c r="W690" s="16">
        <v>67.6</v>
      </c>
      <c r="X690" s="2">
        <v>6.76</v>
      </c>
      <c r="Y690" s="2">
        <v>33.8</v>
      </c>
    </row>
    <row r="691" spans="18:25" ht="12.75">
      <c r="R691" s="142">
        <v>67.7</v>
      </c>
      <c r="S691" s="143">
        <v>1177</v>
      </c>
      <c r="W691" s="16">
        <v>67.7</v>
      </c>
      <c r="X691" s="2">
        <v>6.77</v>
      </c>
      <c r="Y691" s="2">
        <v>33.85</v>
      </c>
    </row>
    <row r="692" spans="18:25" ht="12.75">
      <c r="R692" s="142">
        <v>67.8</v>
      </c>
      <c r="S692" s="143">
        <v>1178</v>
      </c>
      <c r="W692" s="16">
        <v>67.8</v>
      </c>
      <c r="X692" s="2">
        <v>6.78</v>
      </c>
      <c r="Y692" s="2">
        <v>33.9</v>
      </c>
    </row>
    <row r="693" spans="18:25" ht="12.75">
      <c r="R693" s="142">
        <v>67.9</v>
      </c>
      <c r="S693" s="143">
        <v>1179</v>
      </c>
      <c r="W693" s="16">
        <v>67.9</v>
      </c>
      <c r="X693" s="2">
        <v>6.79</v>
      </c>
      <c r="Y693" s="2">
        <v>33.95</v>
      </c>
    </row>
    <row r="694" spans="18:25" ht="12.75">
      <c r="R694" s="142">
        <v>68</v>
      </c>
      <c r="S694" s="143">
        <v>1180</v>
      </c>
      <c r="W694" s="16">
        <v>68</v>
      </c>
      <c r="X694" s="2">
        <v>6.8</v>
      </c>
      <c r="Y694" s="2">
        <v>34</v>
      </c>
    </row>
    <row r="695" spans="18:25" ht="12.75">
      <c r="R695" s="142">
        <v>68.1</v>
      </c>
      <c r="S695" s="143">
        <v>1181</v>
      </c>
      <c r="W695" s="16">
        <v>68.1</v>
      </c>
      <c r="X695" s="2">
        <v>6.81</v>
      </c>
      <c r="Y695" s="2">
        <v>34.05</v>
      </c>
    </row>
    <row r="696" spans="18:25" ht="12.75">
      <c r="R696" s="142">
        <v>68.2</v>
      </c>
      <c r="S696" s="143">
        <v>1182</v>
      </c>
      <c r="W696" s="16">
        <v>68.2</v>
      </c>
      <c r="X696" s="2">
        <v>6.82</v>
      </c>
      <c r="Y696" s="2">
        <v>34.1</v>
      </c>
    </row>
    <row r="697" spans="18:25" ht="12.75">
      <c r="R697" s="142">
        <v>68.3</v>
      </c>
      <c r="S697" s="143">
        <v>1183</v>
      </c>
      <c r="W697" s="16">
        <v>68.3</v>
      </c>
      <c r="X697" s="2">
        <v>6.83</v>
      </c>
      <c r="Y697" s="2">
        <v>34.15</v>
      </c>
    </row>
    <row r="698" spans="18:25" ht="12.75">
      <c r="R698" s="142">
        <v>68.4</v>
      </c>
      <c r="S698" s="143">
        <v>1184</v>
      </c>
      <c r="W698" s="16">
        <v>68.4</v>
      </c>
      <c r="X698" s="2">
        <v>6.84</v>
      </c>
      <c r="Y698" s="2">
        <v>34.2</v>
      </c>
    </row>
    <row r="699" spans="18:25" ht="12.75">
      <c r="R699" s="142">
        <v>68.5</v>
      </c>
      <c r="S699" s="143">
        <v>1185</v>
      </c>
      <c r="W699" s="16">
        <v>68.5</v>
      </c>
      <c r="X699" s="2">
        <v>6.85</v>
      </c>
      <c r="Y699" s="2">
        <v>34.25</v>
      </c>
    </row>
    <row r="700" spans="18:25" ht="12.75">
      <c r="R700" s="142">
        <v>68.6</v>
      </c>
      <c r="S700" s="143">
        <v>1186</v>
      </c>
      <c r="W700" s="16">
        <v>68.6</v>
      </c>
      <c r="X700" s="2">
        <v>6.86</v>
      </c>
      <c r="Y700" s="2">
        <v>34.3</v>
      </c>
    </row>
    <row r="701" spans="18:25" ht="12.75">
      <c r="R701" s="142">
        <v>68.7</v>
      </c>
      <c r="S701" s="143">
        <v>1187</v>
      </c>
      <c r="W701" s="16">
        <v>68.7</v>
      </c>
      <c r="X701" s="2">
        <v>6.87</v>
      </c>
      <c r="Y701" s="2">
        <v>34.35</v>
      </c>
    </row>
    <row r="702" spans="18:25" ht="12.75">
      <c r="R702" s="142">
        <v>68.8</v>
      </c>
      <c r="S702" s="143">
        <v>1188</v>
      </c>
      <c r="W702" s="16">
        <v>68.8</v>
      </c>
      <c r="X702" s="2">
        <v>6.88</v>
      </c>
      <c r="Y702" s="2">
        <v>34.4</v>
      </c>
    </row>
    <row r="703" spans="18:25" ht="12.75">
      <c r="R703" s="142">
        <v>68.9</v>
      </c>
      <c r="S703" s="143">
        <v>1189</v>
      </c>
      <c r="W703" s="16">
        <v>68.9</v>
      </c>
      <c r="X703" s="2">
        <v>6.89</v>
      </c>
      <c r="Y703" s="2">
        <v>34.45</v>
      </c>
    </row>
    <row r="704" spans="18:25" ht="12.75">
      <c r="R704" s="142">
        <v>69</v>
      </c>
      <c r="S704" s="143">
        <v>1190</v>
      </c>
      <c r="W704" s="16">
        <v>69</v>
      </c>
      <c r="X704" s="2">
        <v>6.9</v>
      </c>
      <c r="Y704" s="2">
        <v>34.5</v>
      </c>
    </row>
    <row r="705" spans="18:25" ht="12.75">
      <c r="R705" s="142">
        <v>69.1</v>
      </c>
      <c r="S705" s="143">
        <v>1191</v>
      </c>
      <c r="W705" s="16">
        <v>69.1</v>
      </c>
      <c r="X705" s="2">
        <v>6.91</v>
      </c>
      <c r="Y705" s="2">
        <v>34.55</v>
      </c>
    </row>
    <row r="706" spans="18:25" ht="12.75">
      <c r="R706" s="142">
        <v>69.2</v>
      </c>
      <c r="S706" s="143">
        <v>1192</v>
      </c>
      <c r="W706" s="16">
        <v>69.2</v>
      </c>
      <c r="X706" s="2">
        <v>6.92</v>
      </c>
      <c r="Y706" s="2">
        <v>34.6</v>
      </c>
    </row>
    <row r="707" spans="18:25" ht="12.75">
      <c r="R707" s="142">
        <v>69.3</v>
      </c>
      <c r="S707" s="143">
        <v>1193</v>
      </c>
      <c r="W707" s="16">
        <v>69.3</v>
      </c>
      <c r="X707" s="2">
        <v>6.93</v>
      </c>
      <c r="Y707" s="2">
        <v>34.65</v>
      </c>
    </row>
    <row r="708" spans="18:25" ht="12.75">
      <c r="R708" s="142">
        <v>69.4</v>
      </c>
      <c r="S708" s="143">
        <v>1194</v>
      </c>
      <c r="W708" s="16">
        <v>69.4</v>
      </c>
      <c r="X708" s="2">
        <v>6.94</v>
      </c>
      <c r="Y708" s="2">
        <v>34.7</v>
      </c>
    </row>
    <row r="709" spans="18:25" ht="12.75">
      <c r="R709" s="142">
        <v>69.5</v>
      </c>
      <c r="S709" s="143">
        <v>1195</v>
      </c>
      <c r="W709" s="16">
        <v>69.5</v>
      </c>
      <c r="X709" s="2">
        <v>6.95</v>
      </c>
      <c r="Y709" s="2">
        <v>34.75</v>
      </c>
    </row>
    <row r="710" spans="18:25" ht="12.75">
      <c r="R710" s="142">
        <v>69.6</v>
      </c>
      <c r="S710" s="143">
        <v>1196</v>
      </c>
      <c r="W710" s="16">
        <v>69.6</v>
      </c>
      <c r="X710" s="2">
        <v>6.96</v>
      </c>
      <c r="Y710" s="2">
        <v>34.8</v>
      </c>
    </row>
    <row r="711" spans="18:25" ht="12.75">
      <c r="R711" s="142">
        <v>69.7</v>
      </c>
      <c r="S711" s="143">
        <v>1197</v>
      </c>
      <c r="W711" s="16">
        <v>69.7</v>
      </c>
      <c r="X711" s="2">
        <v>6.97</v>
      </c>
      <c r="Y711" s="2">
        <v>34.85</v>
      </c>
    </row>
    <row r="712" spans="18:25" ht="12.75">
      <c r="R712" s="142">
        <v>69.8</v>
      </c>
      <c r="S712" s="143">
        <v>1198</v>
      </c>
      <c r="W712" s="16">
        <v>69.8</v>
      </c>
      <c r="X712" s="2">
        <v>6.98</v>
      </c>
      <c r="Y712" s="2">
        <v>34.9</v>
      </c>
    </row>
    <row r="713" spans="18:25" ht="12.75">
      <c r="R713" s="142">
        <v>69.9</v>
      </c>
      <c r="S713" s="143">
        <v>1199</v>
      </c>
      <c r="W713" s="16">
        <v>69.9</v>
      </c>
      <c r="X713" s="2">
        <v>6.99</v>
      </c>
      <c r="Y713" s="2">
        <v>34.95</v>
      </c>
    </row>
    <row r="714" spans="18:25" ht="12.75">
      <c r="R714" s="142">
        <v>70</v>
      </c>
      <c r="S714" s="143">
        <v>1200</v>
      </c>
      <c r="W714" s="16">
        <v>70</v>
      </c>
      <c r="X714" s="2">
        <v>7</v>
      </c>
      <c r="Y714" s="2">
        <v>35</v>
      </c>
    </row>
    <row r="715" spans="18:25" ht="12.75">
      <c r="R715" s="142">
        <v>70.1</v>
      </c>
      <c r="S715" s="143">
        <v>1201</v>
      </c>
      <c r="W715" s="16">
        <v>70.1</v>
      </c>
      <c r="X715" s="2">
        <v>7.01</v>
      </c>
      <c r="Y715" s="2">
        <v>35.05</v>
      </c>
    </row>
    <row r="716" spans="18:25" ht="12.75">
      <c r="R716" s="142">
        <v>70.2</v>
      </c>
      <c r="S716" s="143">
        <v>1202</v>
      </c>
      <c r="W716" s="16">
        <v>70.2</v>
      </c>
      <c r="X716" s="2">
        <v>7.02</v>
      </c>
      <c r="Y716" s="2">
        <v>35.1</v>
      </c>
    </row>
    <row r="717" spans="18:25" ht="12.75">
      <c r="R717" s="142">
        <v>70.3</v>
      </c>
      <c r="S717" s="143">
        <v>1203</v>
      </c>
      <c r="W717" s="16">
        <v>70.3</v>
      </c>
      <c r="X717" s="2">
        <v>7.03</v>
      </c>
      <c r="Y717" s="2">
        <v>35.15</v>
      </c>
    </row>
    <row r="718" spans="18:25" ht="12.75">
      <c r="R718" s="142">
        <v>70.4</v>
      </c>
      <c r="S718" s="143">
        <v>1204</v>
      </c>
      <c r="W718" s="16">
        <v>70.4</v>
      </c>
      <c r="X718" s="2">
        <v>7.04</v>
      </c>
      <c r="Y718" s="2">
        <v>35.2</v>
      </c>
    </row>
    <row r="719" spans="18:25" ht="12.75">
      <c r="R719" s="142">
        <v>70.5</v>
      </c>
      <c r="S719" s="143">
        <v>1205</v>
      </c>
      <c r="W719" s="16">
        <v>70.5</v>
      </c>
      <c r="X719" s="2">
        <v>7.05</v>
      </c>
      <c r="Y719" s="2">
        <v>35.25</v>
      </c>
    </row>
    <row r="720" spans="18:25" ht="12.75">
      <c r="R720" s="142">
        <v>70.6</v>
      </c>
      <c r="S720" s="143">
        <v>1206</v>
      </c>
      <c r="W720" s="16">
        <v>70.6</v>
      </c>
      <c r="X720" s="2">
        <v>7.06</v>
      </c>
      <c r="Y720" s="2">
        <v>35.3</v>
      </c>
    </row>
    <row r="721" spans="18:25" ht="12.75">
      <c r="R721" s="142">
        <v>70.7</v>
      </c>
      <c r="S721" s="143">
        <v>1207</v>
      </c>
      <c r="W721" s="16">
        <v>70.7</v>
      </c>
      <c r="X721" s="2">
        <v>7.07</v>
      </c>
      <c r="Y721" s="2">
        <v>35.35</v>
      </c>
    </row>
    <row r="722" spans="18:25" ht="12.75">
      <c r="R722" s="142">
        <v>70.8</v>
      </c>
      <c r="S722" s="143">
        <v>1208</v>
      </c>
      <c r="W722" s="16">
        <v>70.8</v>
      </c>
      <c r="X722" s="2">
        <v>7.08</v>
      </c>
      <c r="Y722" s="2">
        <v>35.4</v>
      </c>
    </row>
    <row r="723" spans="18:25" ht="12.75">
      <c r="R723" s="142">
        <v>70.9</v>
      </c>
      <c r="S723" s="143">
        <v>1209</v>
      </c>
      <c r="W723" s="16">
        <v>70.9</v>
      </c>
      <c r="X723" s="2">
        <v>7.09</v>
      </c>
      <c r="Y723" s="2">
        <v>35.45</v>
      </c>
    </row>
    <row r="724" spans="18:25" ht="12.75">
      <c r="R724" s="142">
        <v>71</v>
      </c>
      <c r="S724" s="143">
        <v>1210</v>
      </c>
      <c r="W724" s="16">
        <v>71</v>
      </c>
      <c r="X724" s="2">
        <v>7.1</v>
      </c>
      <c r="Y724" s="2">
        <v>35.5</v>
      </c>
    </row>
    <row r="725" spans="18:25" ht="12.75">
      <c r="R725" s="142">
        <v>71.1</v>
      </c>
      <c r="S725" s="143">
        <v>1211</v>
      </c>
      <c r="W725" s="16">
        <v>71.1</v>
      </c>
      <c r="X725" s="2">
        <v>7.11</v>
      </c>
      <c r="Y725" s="2">
        <v>35.55</v>
      </c>
    </row>
    <row r="726" spans="18:25" ht="12.75">
      <c r="R726" s="142">
        <v>71.2</v>
      </c>
      <c r="S726" s="143">
        <v>1212</v>
      </c>
      <c r="W726" s="16">
        <v>71.2</v>
      </c>
      <c r="X726" s="2">
        <v>7.12</v>
      </c>
      <c r="Y726" s="2">
        <v>35.6</v>
      </c>
    </row>
    <row r="727" spans="18:25" ht="12.75">
      <c r="R727" s="142">
        <v>71.3</v>
      </c>
      <c r="S727" s="143">
        <v>1213</v>
      </c>
      <c r="W727" s="16">
        <v>71.3</v>
      </c>
      <c r="X727" s="2">
        <v>7.13</v>
      </c>
      <c r="Y727" s="2">
        <v>35.65</v>
      </c>
    </row>
    <row r="728" spans="18:25" ht="12.75">
      <c r="R728" s="142">
        <v>71.4</v>
      </c>
      <c r="S728" s="143">
        <v>1214</v>
      </c>
      <c r="W728" s="16">
        <v>71.4</v>
      </c>
      <c r="X728" s="2">
        <v>7.14</v>
      </c>
      <c r="Y728" s="2">
        <v>35.7</v>
      </c>
    </row>
    <row r="729" spans="18:25" ht="12.75">
      <c r="R729" s="142">
        <v>71.5</v>
      </c>
      <c r="S729" s="143">
        <v>1215</v>
      </c>
      <c r="W729" s="16">
        <v>71.5</v>
      </c>
      <c r="X729" s="2">
        <v>7.15</v>
      </c>
      <c r="Y729" s="2">
        <v>35.75</v>
      </c>
    </row>
    <row r="730" spans="18:25" ht="12.75">
      <c r="R730" s="142">
        <v>71.6</v>
      </c>
      <c r="S730" s="143">
        <v>1216</v>
      </c>
      <c r="W730" s="16">
        <v>71.6</v>
      </c>
      <c r="X730" s="2">
        <v>7.16</v>
      </c>
      <c r="Y730" s="2">
        <v>35.8</v>
      </c>
    </row>
    <row r="731" spans="18:25" ht="12.75">
      <c r="R731" s="142">
        <v>71.7</v>
      </c>
      <c r="S731" s="143">
        <v>1217</v>
      </c>
      <c r="W731" s="16">
        <v>71.7</v>
      </c>
      <c r="X731" s="2">
        <v>7.17</v>
      </c>
      <c r="Y731" s="2">
        <v>35.85</v>
      </c>
    </row>
    <row r="732" spans="18:25" ht="12.75">
      <c r="R732" s="142">
        <v>71.8</v>
      </c>
      <c r="S732" s="143">
        <v>1218</v>
      </c>
      <c r="W732" s="16">
        <v>71.8</v>
      </c>
      <c r="X732" s="2">
        <v>7.18</v>
      </c>
      <c r="Y732" s="2">
        <v>35.9</v>
      </c>
    </row>
    <row r="733" spans="18:25" ht="12.75">
      <c r="R733" s="142">
        <v>71.9</v>
      </c>
      <c r="S733" s="143">
        <v>1219</v>
      </c>
      <c r="W733" s="16">
        <v>71.9</v>
      </c>
      <c r="X733" s="2">
        <v>7.19</v>
      </c>
      <c r="Y733" s="2">
        <v>35.95</v>
      </c>
    </row>
    <row r="734" spans="18:25" ht="12.75">
      <c r="R734" s="142">
        <v>72</v>
      </c>
      <c r="S734" s="143">
        <v>1220</v>
      </c>
      <c r="W734" s="16">
        <v>72</v>
      </c>
      <c r="X734" s="2">
        <v>7.2</v>
      </c>
      <c r="Y734" s="2">
        <v>36</v>
      </c>
    </row>
    <row r="735" spans="18:25" ht="12.75">
      <c r="R735" s="142">
        <v>72.1</v>
      </c>
      <c r="S735" s="143">
        <v>1221</v>
      </c>
      <c r="W735" s="16">
        <v>72.1</v>
      </c>
      <c r="X735" s="2">
        <v>7.21</v>
      </c>
      <c r="Y735" s="2">
        <v>36.05</v>
      </c>
    </row>
    <row r="736" spans="18:25" ht="12.75">
      <c r="R736" s="142">
        <v>72.2</v>
      </c>
      <c r="S736" s="143">
        <v>1222</v>
      </c>
      <c r="W736" s="16">
        <v>72.2</v>
      </c>
      <c r="X736" s="2">
        <v>7.22</v>
      </c>
      <c r="Y736" s="2">
        <v>36.1</v>
      </c>
    </row>
    <row r="737" spans="18:25" ht="12.75">
      <c r="R737" s="142">
        <v>72.3</v>
      </c>
      <c r="S737" s="143">
        <v>1223</v>
      </c>
      <c r="W737" s="16">
        <v>72.3</v>
      </c>
      <c r="X737" s="2">
        <v>7.23</v>
      </c>
      <c r="Y737" s="2">
        <v>36.15</v>
      </c>
    </row>
    <row r="738" spans="18:25" ht="12.75">
      <c r="R738" s="142">
        <v>72.4</v>
      </c>
      <c r="S738" s="143">
        <v>1224</v>
      </c>
      <c r="W738" s="16">
        <v>72.4</v>
      </c>
      <c r="X738" s="2">
        <v>7.24</v>
      </c>
      <c r="Y738" s="2">
        <v>36.2</v>
      </c>
    </row>
    <row r="739" spans="18:25" ht="12.75">
      <c r="R739" s="142">
        <v>72.5</v>
      </c>
      <c r="S739" s="143">
        <v>1225</v>
      </c>
      <c r="W739" s="16">
        <v>72.5</v>
      </c>
      <c r="X739" s="2">
        <v>7.25</v>
      </c>
      <c r="Y739" s="2">
        <v>36.25</v>
      </c>
    </row>
    <row r="740" spans="18:25" ht="12.75">
      <c r="R740" s="142">
        <v>72.6</v>
      </c>
      <c r="S740" s="143">
        <v>1226</v>
      </c>
      <c r="W740" s="16">
        <v>72.6</v>
      </c>
      <c r="X740" s="2">
        <v>7.26</v>
      </c>
      <c r="Y740" s="2">
        <v>36.3</v>
      </c>
    </row>
    <row r="741" spans="18:25" ht="12.75">
      <c r="R741" s="142">
        <v>72.7</v>
      </c>
      <c r="S741" s="143">
        <v>1227</v>
      </c>
      <c r="W741" s="16">
        <v>72.7</v>
      </c>
      <c r="X741" s="2">
        <v>7.27</v>
      </c>
      <c r="Y741" s="2">
        <v>36.35</v>
      </c>
    </row>
    <row r="742" spans="18:25" ht="12.75">
      <c r="R742" s="142">
        <v>72.8</v>
      </c>
      <c r="S742" s="143">
        <v>1228</v>
      </c>
      <c r="W742" s="16">
        <v>72.8</v>
      </c>
      <c r="X742" s="2">
        <v>7.28</v>
      </c>
      <c r="Y742" s="2">
        <v>36.4</v>
      </c>
    </row>
    <row r="743" spans="18:25" ht="12.75">
      <c r="R743" s="142">
        <v>72.9</v>
      </c>
      <c r="S743" s="143">
        <v>1229</v>
      </c>
      <c r="W743" s="16">
        <v>72.9</v>
      </c>
      <c r="X743" s="2">
        <v>7.29</v>
      </c>
      <c r="Y743" s="2">
        <v>36.45</v>
      </c>
    </row>
    <row r="744" spans="18:25" ht="12.75">
      <c r="R744" s="142">
        <v>73</v>
      </c>
      <c r="S744" s="143">
        <v>1230</v>
      </c>
      <c r="W744" s="16">
        <v>73</v>
      </c>
      <c r="X744" s="2">
        <v>7.3</v>
      </c>
      <c r="Y744" s="2">
        <v>36.5</v>
      </c>
    </row>
    <row r="745" spans="18:25" ht="12.75">
      <c r="R745" s="142">
        <v>73.1</v>
      </c>
      <c r="S745" s="143">
        <v>1231</v>
      </c>
      <c r="W745" s="16">
        <v>73.1</v>
      </c>
      <c r="X745" s="2">
        <v>7.31</v>
      </c>
      <c r="Y745" s="2">
        <v>36.55</v>
      </c>
    </row>
    <row r="746" spans="18:25" ht="12.75">
      <c r="R746" s="142">
        <v>73.2</v>
      </c>
      <c r="S746" s="143">
        <v>1232</v>
      </c>
      <c r="W746" s="16">
        <v>73.2</v>
      </c>
      <c r="X746" s="2">
        <v>7.32</v>
      </c>
      <c r="Y746" s="2">
        <v>36.6</v>
      </c>
    </row>
    <row r="747" spans="18:25" ht="12.75">
      <c r="R747" s="142">
        <v>73.3</v>
      </c>
      <c r="S747" s="143">
        <v>1233</v>
      </c>
      <c r="W747" s="16">
        <v>73.3</v>
      </c>
      <c r="X747" s="2">
        <v>7.33</v>
      </c>
      <c r="Y747" s="2">
        <v>36.65</v>
      </c>
    </row>
    <row r="748" spans="18:25" ht="12.75">
      <c r="R748" s="142">
        <v>73.4</v>
      </c>
      <c r="S748" s="143">
        <v>1234</v>
      </c>
      <c r="W748" s="16">
        <v>73.4</v>
      </c>
      <c r="X748" s="2">
        <v>7.34</v>
      </c>
      <c r="Y748" s="2">
        <v>36.7</v>
      </c>
    </row>
    <row r="749" spans="18:25" ht="12.75">
      <c r="R749" s="142">
        <v>73.5</v>
      </c>
      <c r="S749" s="143">
        <v>1235</v>
      </c>
      <c r="W749" s="16">
        <v>73.5</v>
      </c>
      <c r="X749" s="2">
        <v>7.35</v>
      </c>
      <c r="Y749" s="2">
        <v>36.75</v>
      </c>
    </row>
    <row r="750" spans="18:25" ht="12.75">
      <c r="R750" s="142">
        <v>73.6</v>
      </c>
      <c r="S750" s="143">
        <v>1236</v>
      </c>
      <c r="W750" s="16">
        <v>73.6</v>
      </c>
      <c r="X750" s="2">
        <v>7.36</v>
      </c>
      <c r="Y750" s="2">
        <v>36.8</v>
      </c>
    </row>
    <row r="751" spans="18:25" ht="12.75">
      <c r="R751" s="142">
        <v>73.7</v>
      </c>
      <c r="S751" s="143">
        <v>1237</v>
      </c>
      <c r="W751" s="16">
        <v>73.7</v>
      </c>
      <c r="X751" s="2">
        <v>7.37</v>
      </c>
      <c r="Y751" s="2">
        <v>36.85</v>
      </c>
    </row>
    <row r="752" spans="18:25" ht="12.75">
      <c r="R752" s="142">
        <v>73.8</v>
      </c>
      <c r="S752" s="143">
        <v>1238</v>
      </c>
      <c r="W752" s="16">
        <v>73.8</v>
      </c>
      <c r="X752" s="2">
        <v>7.38</v>
      </c>
      <c r="Y752" s="2">
        <v>36.9</v>
      </c>
    </row>
    <row r="753" spans="18:25" ht="12.75">
      <c r="R753" s="142">
        <v>73.9</v>
      </c>
      <c r="S753" s="143">
        <v>1239</v>
      </c>
      <c r="W753" s="16">
        <v>73.9</v>
      </c>
      <c r="X753" s="2">
        <v>7.39</v>
      </c>
      <c r="Y753" s="2">
        <v>36.95</v>
      </c>
    </row>
    <row r="754" spans="18:25" ht="12.75">
      <c r="R754" s="142">
        <v>74</v>
      </c>
      <c r="S754" s="143">
        <v>1240</v>
      </c>
      <c r="W754" s="16">
        <v>74</v>
      </c>
      <c r="X754" s="2">
        <v>7.4</v>
      </c>
      <c r="Y754" s="2">
        <v>37</v>
      </c>
    </row>
    <row r="755" spans="18:25" ht="12.75">
      <c r="R755" s="142">
        <v>74.1</v>
      </c>
      <c r="S755" s="143">
        <v>1241</v>
      </c>
      <c r="W755" s="16">
        <v>74.1</v>
      </c>
      <c r="X755" s="2">
        <v>7.41</v>
      </c>
      <c r="Y755" s="2">
        <v>37.05</v>
      </c>
    </row>
    <row r="756" spans="18:25" ht="12.75">
      <c r="R756" s="142">
        <v>74.2</v>
      </c>
      <c r="S756" s="143">
        <v>1242</v>
      </c>
      <c r="W756" s="16">
        <v>74.2</v>
      </c>
      <c r="X756" s="2">
        <v>7.42</v>
      </c>
      <c r="Y756" s="2">
        <v>37.1</v>
      </c>
    </row>
    <row r="757" spans="18:25" ht="12.75">
      <c r="R757" s="142">
        <v>74.3</v>
      </c>
      <c r="S757" s="143">
        <v>1243</v>
      </c>
      <c r="W757" s="16">
        <v>74.3</v>
      </c>
      <c r="X757" s="2">
        <v>7.43</v>
      </c>
      <c r="Y757" s="2">
        <v>37.15</v>
      </c>
    </row>
    <row r="758" spans="18:25" ht="12.75">
      <c r="R758" s="142">
        <v>74.4</v>
      </c>
      <c r="S758" s="143">
        <v>1244</v>
      </c>
      <c r="W758" s="16">
        <v>74.4</v>
      </c>
      <c r="X758" s="2">
        <v>7.44</v>
      </c>
      <c r="Y758" s="2">
        <v>37.2</v>
      </c>
    </row>
    <row r="759" spans="18:25" ht="12.75">
      <c r="R759" s="142">
        <v>74.5</v>
      </c>
      <c r="S759" s="143">
        <v>1245</v>
      </c>
      <c r="W759" s="16">
        <v>74.5</v>
      </c>
      <c r="X759" s="2">
        <v>7.45</v>
      </c>
      <c r="Y759" s="2">
        <v>37.25</v>
      </c>
    </row>
    <row r="760" spans="18:25" ht="12.75">
      <c r="R760" s="142">
        <v>74.6</v>
      </c>
      <c r="S760" s="143">
        <v>1246</v>
      </c>
      <c r="W760" s="16">
        <v>74.6</v>
      </c>
      <c r="X760" s="2">
        <v>7.46</v>
      </c>
      <c r="Y760" s="2">
        <v>37.3</v>
      </c>
    </row>
    <row r="761" spans="18:25" ht="12.75">
      <c r="R761" s="142">
        <v>74.7</v>
      </c>
      <c r="S761" s="143">
        <v>1247</v>
      </c>
      <c r="W761" s="16">
        <v>74.7</v>
      </c>
      <c r="X761" s="2">
        <v>7.47</v>
      </c>
      <c r="Y761" s="2">
        <v>37.35</v>
      </c>
    </row>
    <row r="762" spans="18:25" ht="12.75">
      <c r="R762" s="142">
        <v>74.8</v>
      </c>
      <c r="S762" s="143">
        <v>1248</v>
      </c>
      <c r="W762" s="16">
        <v>74.8</v>
      </c>
      <c r="X762" s="2">
        <v>7.48</v>
      </c>
      <c r="Y762" s="2">
        <v>37.4</v>
      </c>
    </row>
    <row r="763" spans="18:25" ht="12.75">
      <c r="R763" s="142">
        <v>74.9</v>
      </c>
      <c r="S763" s="143">
        <v>1249</v>
      </c>
      <c r="W763" s="16">
        <v>74.9</v>
      </c>
      <c r="X763" s="2">
        <v>7.49</v>
      </c>
      <c r="Y763" s="2">
        <v>37.45</v>
      </c>
    </row>
    <row r="764" spans="18:25" ht="12.75">
      <c r="R764" s="142">
        <v>75</v>
      </c>
      <c r="S764" s="143">
        <v>1250</v>
      </c>
      <c r="W764" s="16">
        <v>75</v>
      </c>
      <c r="X764" s="2">
        <v>7.5</v>
      </c>
      <c r="Y764" s="2">
        <v>37.5</v>
      </c>
    </row>
    <row r="765" spans="18:25" ht="12.75">
      <c r="R765" s="142">
        <v>75.1</v>
      </c>
      <c r="S765" s="143">
        <v>1251</v>
      </c>
      <c r="W765" s="16">
        <v>75.1</v>
      </c>
      <c r="X765" s="2">
        <v>7.51</v>
      </c>
      <c r="Y765" s="2">
        <v>37.55</v>
      </c>
    </row>
    <row r="766" spans="18:25" ht="12.75">
      <c r="R766" s="142">
        <v>75.2</v>
      </c>
      <c r="S766" s="143">
        <v>1252</v>
      </c>
      <c r="W766" s="16">
        <v>75.2</v>
      </c>
      <c r="X766" s="2">
        <v>7.52</v>
      </c>
      <c r="Y766" s="2">
        <v>37.6</v>
      </c>
    </row>
    <row r="767" spans="18:25" ht="12.75">
      <c r="R767" s="142">
        <v>75.3</v>
      </c>
      <c r="S767" s="143">
        <v>1253</v>
      </c>
      <c r="W767" s="16">
        <v>75.3</v>
      </c>
      <c r="X767" s="2">
        <v>7.53</v>
      </c>
      <c r="Y767" s="2">
        <v>37.65</v>
      </c>
    </row>
    <row r="768" spans="18:25" ht="12.75">
      <c r="R768" s="142">
        <v>75.4</v>
      </c>
      <c r="S768" s="143">
        <v>1254</v>
      </c>
      <c r="W768" s="16">
        <v>75.4</v>
      </c>
      <c r="X768" s="2">
        <v>7.54</v>
      </c>
      <c r="Y768" s="2">
        <v>37.7</v>
      </c>
    </row>
    <row r="769" spans="18:25" ht="12.75">
      <c r="R769" s="142">
        <v>75.5</v>
      </c>
      <c r="S769" s="143">
        <v>1255</v>
      </c>
      <c r="W769" s="16">
        <v>75.5</v>
      </c>
      <c r="X769" s="2">
        <v>7.55</v>
      </c>
      <c r="Y769" s="2">
        <v>37.75</v>
      </c>
    </row>
    <row r="770" spans="18:25" ht="12.75">
      <c r="R770" s="142">
        <v>75.6</v>
      </c>
      <c r="S770" s="143">
        <v>1256</v>
      </c>
      <c r="W770" s="16">
        <v>75.6</v>
      </c>
      <c r="X770" s="2">
        <v>7.56</v>
      </c>
      <c r="Y770" s="2">
        <v>37.8</v>
      </c>
    </row>
    <row r="771" spans="18:25" ht="12.75">
      <c r="R771" s="142">
        <v>75.7</v>
      </c>
      <c r="S771" s="143">
        <v>1257</v>
      </c>
      <c r="W771" s="16">
        <v>75.7</v>
      </c>
      <c r="X771" s="2">
        <v>7.57</v>
      </c>
      <c r="Y771" s="2">
        <v>37.85</v>
      </c>
    </row>
    <row r="772" spans="18:25" ht="12.75">
      <c r="R772" s="142">
        <v>75.8</v>
      </c>
      <c r="S772" s="143">
        <v>1258</v>
      </c>
      <c r="W772" s="16">
        <v>75.8</v>
      </c>
      <c r="X772" s="2">
        <v>7.58</v>
      </c>
      <c r="Y772" s="2">
        <v>37.9</v>
      </c>
    </row>
    <row r="773" spans="18:25" ht="12.75">
      <c r="R773" s="142">
        <v>75.9</v>
      </c>
      <c r="S773" s="143">
        <v>1259</v>
      </c>
      <c r="W773" s="16">
        <v>75.9</v>
      </c>
      <c r="X773" s="2">
        <v>7.59</v>
      </c>
      <c r="Y773" s="2">
        <v>37.95</v>
      </c>
    </row>
    <row r="774" spans="18:25" ht="12.75">
      <c r="R774" s="142">
        <v>76</v>
      </c>
      <c r="S774" s="143">
        <v>1260</v>
      </c>
      <c r="W774" s="16">
        <v>76</v>
      </c>
      <c r="X774" s="2">
        <v>7.6</v>
      </c>
      <c r="Y774" s="2">
        <v>38</v>
      </c>
    </row>
    <row r="775" spans="18:25" ht="12.75">
      <c r="R775" s="142">
        <v>76.1</v>
      </c>
      <c r="S775" s="143">
        <v>1261</v>
      </c>
      <c r="W775" s="16">
        <v>76.1</v>
      </c>
      <c r="X775" s="2">
        <v>7.61</v>
      </c>
      <c r="Y775" s="2">
        <v>38.05</v>
      </c>
    </row>
    <row r="776" spans="18:25" ht="12.75">
      <c r="R776" s="142">
        <v>76.2</v>
      </c>
      <c r="S776" s="143">
        <v>1262</v>
      </c>
      <c r="W776" s="16">
        <v>76.2</v>
      </c>
      <c r="X776" s="2">
        <v>7.62</v>
      </c>
      <c r="Y776" s="2">
        <v>38.1</v>
      </c>
    </row>
    <row r="777" spans="18:25" ht="12.75">
      <c r="R777" s="142">
        <v>76.3</v>
      </c>
      <c r="S777" s="143">
        <v>1263</v>
      </c>
      <c r="W777" s="16">
        <v>76.3</v>
      </c>
      <c r="X777" s="2">
        <v>7.63</v>
      </c>
      <c r="Y777" s="2">
        <v>38.15</v>
      </c>
    </row>
    <row r="778" spans="18:25" ht="12.75">
      <c r="R778" s="142">
        <v>76.4</v>
      </c>
      <c r="S778" s="143">
        <v>1264</v>
      </c>
      <c r="W778" s="16">
        <v>76.4</v>
      </c>
      <c r="X778" s="2">
        <v>7.64</v>
      </c>
      <c r="Y778" s="2">
        <v>38.2</v>
      </c>
    </row>
    <row r="779" spans="18:25" ht="12.75">
      <c r="R779" s="142">
        <v>76.5</v>
      </c>
      <c r="S779" s="143">
        <v>1265</v>
      </c>
      <c r="W779" s="16">
        <v>76.5</v>
      </c>
      <c r="X779" s="2">
        <v>7.65</v>
      </c>
      <c r="Y779" s="2">
        <v>38.25</v>
      </c>
    </row>
    <row r="780" spans="18:25" ht="12.75">
      <c r="R780" s="142">
        <v>76.6</v>
      </c>
      <c r="S780" s="143">
        <v>1266</v>
      </c>
      <c r="W780" s="16">
        <v>76.6</v>
      </c>
      <c r="X780" s="2">
        <v>7.66</v>
      </c>
      <c r="Y780" s="2">
        <v>38.3</v>
      </c>
    </row>
    <row r="781" spans="18:25" ht="12.75">
      <c r="R781" s="142">
        <v>76.7</v>
      </c>
      <c r="S781" s="143">
        <v>1267</v>
      </c>
      <c r="W781" s="16">
        <v>76.7</v>
      </c>
      <c r="X781" s="2">
        <v>7.67</v>
      </c>
      <c r="Y781" s="2">
        <v>38.35</v>
      </c>
    </row>
    <row r="782" spans="18:25" ht="12.75">
      <c r="R782" s="142">
        <v>76.8</v>
      </c>
      <c r="S782" s="143">
        <v>1268</v>
      </c>
      <c r="W782" s="16">
        <v>76.8</v>
      </c>
      <c r="X782" s="2">
        <v>7.68</v>
      </c>
      <c r="Y782" s="2">
        <v>38.4</v>
      </c>
    </row>
    <row r="783" spans="18:25" ht="12.75">
      <c r="R783" s="142">
        <v>76.9</v>
      </c>
      <c r="S783" s="143">
        <v>1269</v>
      </c>
      <c r="W783" s="16">
        <v>76.9</v>
      </c>
      <c r="X783" s="2">
        <v>7.69</v>
      </c>
      <c r="Y783" s="2">
        <v>38.45</v>
      </c>
    </row>
    <row r="784" spans="18:25" ht="12.75">
      <c r="R784" s="142">
        <v>77</v>
      </c>
      <c r="S784" s="143">
        <v>1270</v>
      </c>
      <c r="W784" s="16">
        <v>77</v>
      </c>
      <c r="X784" s="2">
        <v>7.7</v>
      </c>
      <c r="Y784" s="2">
        <v>38.5</v>
      </c>
    </row>
    <row r="785" spans="18:25" ht="12.75">
      <c r="R785" s="142">
        <v>77.1</v>
      </c>
      <c r="S785" s="143">
        <v>1271</v>
      </c>
      <c r="W785" s="16">
        <v>77.1</v>
      </c>
      <c r="X785" s="2">
        <v>7.71</v>
      </c>
      <c r="Y785" s="2">
        <v>38.55</v>
      </c>
    </row>
    <row r="786" spans="18:25" ht="12.75">
      <c r="R786" s="142">
        <v>77.2</v>
      </c>
      <c r="S786" s="143">
        <v>1272</v>
      </c>
      <c r="W786" s="16">
        <v>77.2</v>
      </c>
      <c r="X786" s="2">
        <v>7.72</v>
      </c>
      <c r="Y786" s="2">
        <v>38.6</v>
      </c>
    </row>
    <row r="787" spans="18:25" ht="12.75">
      <c r="R787" s="142">
        <v>77.3</v>
      </c>
      <c r="S787" s="143">
        <v>1273</v>
      </c>
      <c r="W787" s="16">
        <v>77.3</v>
      </c>
      <c r="X787" s="2">
        <v>7.73</v>
      </c>
      <c r="Y787" s="2">
        <v>38.65</v>
      </c>
    </row>
    <row r="788" spans="18:25" ht="12.75">
      <c r="R788" s="142">
        <v>77.4</v>
      </c>
      <c r="S788" s="143">
        <v>1274</v>
      </c>
      <c r="W788" s="16">
        <v>77.4</v>
      </c>
      <c r="X788" s="2">
        <v>7.74</v>
      </c>
      <c r="Y788" s="2">
        <v>38.7</v>
      </c>
    </row>
    <row r="789" spans="18:25" ht="12.75">
      <c r="R789" s="142">
        <v>77.5</v>
      </c>
      <c r="S789" s="143">
        <v>1275</v>
      </c>
      <c r="W789" s="16">
        <v>77.5</v>
      </c>
      <c r="X789" s="2">
        <v>7.75</v>
      </c>
      <c r="Y789" s="2">
        <v>38.75</v>
      </c>
    </row>
    <row r="790" spans="18:25" ht="12.75">
      <c r="R790" s="142">
        <v>77.6</v>
      </c>
      <c r="S790" s="143">
        <v>1276</v>
      </c>
      <c r="W790" s="16">
        <v>77.6</v>
      </c>
      <c r="X790" s="2">
        <v>7.76</v>
      </c>
      <c r="Y790" s="2">
        <v>38.8</v>
      </c>
    </row>
    <row r="791" spans="18:25" ht="12.75">
      <c r="R791" s="142">
        <v>77.7</v>
      </c>
      <c r="S791" s="143">
        <v>1277</v>
      </c>
      <c r="W791" s="16">
        <v>77.7</v>
      </c>
      <c r="X791" s="2">
        <v>7.77</v>
      </c>
      <c r="Y791" s="2">
        <v>38.85</v>
      </c>
    </row>
    <row r="792" spans="18:25" ht="12.75">
      <c r="R792" s="142">
        <v>77.8</v>
      </c>
      <c r="S792" s="143">
        <v>1278</v>
      </c>
      <c r="W792" s="16">
        <v>77.8</v>
      </c>
      <c r="X792" s="2">
        <v>7.78</v>
      </c>
      <c r="Y792" s="2">
        <v>38.9</v>
      </c>
    </row>
    <row r="793" spans="18:25" ht="12.75">
      <c r="R793" s="142">
        <v>77.9</v>
      </c>
      <c r="S793" s="143">
        <v>1279</v>
      </c>
      <c r="W793" s="16">
        <v>77.9</v>
      </c>
      <c r="X793" s="2">
        <v>7.79</v>
      </c>
      <c r="Y793" s="2">
        <v>38.95</v>
      </c>
    </row>
    <row r="794" spans="18:25" ht="12.75">
      <c r="R794" s="142">
        <v>78</v>
      </c>
      <c r="S794" s="143">
        <v>1280</v>
      </c>
      <c r="W794" s="16">
        <v>78</v>
      </c>
      <c r="X794" s="2">
        <v>7.8</v>
      </c>
      <c r="Y794" s="2">
        <v>39</v>
      </c>
    </row>
    <row r="795" spans="18:25" ht="12.75">
      <c r="R795" s="142">
        <v>78.1</v>
      </c>
      <c r="S795" s="143">
        <v>1281</v>
      </c>
      <c r="W795" s="16">
        <v>78.1</v>
      </c>
      <c r="X795" s="2">
        <v>7.81</v>
      </c>
      <c r="Y795" s="2">
        <v>39.05</v>
      </c>
    </row>
    <row r="796" spans="18:25" ht="12.75">
      <c r="R796" s="142">
        <v>78.2</v>
      </c>
      <c r="S796" s="143">
        <v>1282</v>
      </c>
      <c r="W796" s="16">
        <v>78.2</v>
      </c>
      <c r="X796" s="2">
        <v>7.82</v>
      </c>
      <c r="Y796" s="2">
        <v>39.1</v>
      </c>
    </row>
    <row r="797" spans="18:25" ht="12.75">
      <c r="R797" s="142">
        <v>78.3</v>
      </c>
      <c r="S797" s="143">
        <v>1283</v>
      </c>
      <c r="W797" s="16">
        <v>78.3</v>
      </c>
      <c r="X797" s="2">
        <v>7.83</v>
      </c>
      <c r="Y797" s="2">
        <v>39.15</v>
      </c>
    </row>
    <row r="798" spans="18:25" ht="12.75">
      <c r="R798" s="142">
        <v>78.4</v>
      </c>
      <c r="S798" s="143">
        <v>1284</v>
      </c>
      <c r="W798" s="16">
        <v>78.4</v>
      </c>
      <c r="X798" s="2">
        <v>7.84</v>
      </c>
      <c r="Y798" s="2">
        <v>39.2</v>
      </c>
    </row>
    <row r="799" spans="18:25" ht="12.75">
      <c r="R799" s="142">
        <v>78.5</v>
      </c>
      <c r="S799" s="143">
        <v>1285</v>
      </c>
      <c r="W799" s="16">
        <v>78.5</v>
      </c>
      <c r="X799" s="2">
        <v>7.85</v>
      </c>
      <c r="Y799" s="2">
        <v>39.25</v>
      </c>
    </row>
    <row r="800" spans="18:25" ht="12.75">
      <c r="R800" s="142">
        <v>78.6</v>
      </c>
      <c r="S800" s="143">
        <v>1286</v>
      </c>
      <c r="W800" s="16">
        <v>78.6</v>
      </c>
      <c r="X800" s="2">
        <v>7.86</v>
      </c>
      <c r="Y800" s="2">
        <v>39.3</v>
      </c>
    </row>
    <row r="801" spans="18:25" ht="12.75">
      <c r="R801" s="142">
        <v>78.7</v>
      </c>
      <c r="S801" s="143">
        <v>1287</v>
      </c>
      <c r="W801" s="16">
        <v>78.7</v>
      </c>
      <c r="X801" s="2">
        <v>7.87</v>
      </c>
      <c r="Y801" s="2">
        <v>39.35</v>
      </c>
    </row>
    <row r="802" spans="18:25" ht="12.75">
      <c r="R802" s="142">
        <v>78.8</v>
      </c>
      <c r="S802" s="143">
        <v>1288</v>
      </c>
      <c r="W802" s="16">
        <v>78.8</v>
      </c>
      <c r="X802" s="2">
        <v>7.88</v>
      </c>
      <c r="Y802" s="2">
        <v>39.4</v>
      </c>
    </row>
    <row r="803" spans="18:25" ht="12.75">
      <c r="R803" s="142">
        <v>78.9</v>
      </c>
      <c r="S803" s="143">
        <v>1289</v>
      </c>
      <c r="W803" s="16">
        <v>78.9</v>
      </c>
      <c r="X803" s="2">
        <v>7.89</v>
      </c>
      <c r="Y803" s="2">
        <v>39.45</v>
      </c>
    </row>
    <row r="804" spans="18:25" ht="12.75">
      <c r="R804" s="142">
        <v>79</v>
      </c>
      <c r="S804" s="143">
        <v>1290</v>
      </c>
      <c r="W804" s="16">
        <v>79</v>
      </c>
      <c r="X804" s="2">
        <v>7.9</v>
      </c>
      <c r="Y804" s="2">
        <v>39.5</v>
      </c>
    </row>
    <row r="805" spans="18:25" ht="12.75">
      <c r="R805" s="142">
        <v>79.1</v>
      </c>
      <c r="S805" s="143">
        <v>1291</v>
      </c>
      <c r="W805" s="16">
        <v>79.1</v>
      </c>
      <c r="X805" s="2">
        <v>7.91</v>
      </c>
      <c r="Y805" s="2">
        <v>39.55</v>
      </c>
    </row>
    <row r="806" spans="18:25" ht="12.75">
      <c r="R806" s="142">
        <v>79.2</v>
      </c>
      <c r="S806" s="143">
        <v>1292</v>
      </c>
      <c r="W806" s="16">
        <v>79.2</v>
      </c>
      <c r="X806" s="2">
        <v>7.92</v>
      </c>
      <c r="Y806" s="2">
        <v>39.6</v>
      </c>
    </row>
    <row r="807" spans="18:25" ht="12.75">
      <c r="R807" s="142">
        <v>79.3</v>
      </c>
      <c r="S807" s="143">
        <v>1293</v>
      </c>
      <c r="W807" s="16">
        <v>79.3</v>
      </c>
      <c r="X807" s="2">
        <v>7.93</v>
      </c>
      <c r="Y807" s="2">
        <v>39.65</v>
      </c>
    </row>
    <row r="808" spans="18:25" ht="12.75">
      <c r="R808" s="142">
        <v>79.4</v>
      </c>
      <c r="S808" s="143">
        <v>1294</v>
      </c>
      <c r="W808" s="16">
        <v>79.4</v>
      </c>
      <c r="X808" s="2">
        <v>7.94</v>
      </c>
      <c r="Y808" s="2">
        <v>39.7</v>
      </c>
    </row>
    <row r="809" spans="18:25" ht="12.75">
      <c r="R809" s="142">
        <v>79.5</v>
      </c>
      <c r="S809" s="143">
        <v>1295</v>
      </c>
      <c r="W809" s="16">
        <v>79.5</v>
      </c>
      <c r="X809" s="2">
        <v>7.95</v>
      </c>
      <c r="Y809" s="2">
        <v>39.75</v>
      </c>
    </row>
    <row r="810" spans="18:25" ht="12.75">
      <c r="R810" s="142">
        <v>79.6</v>
      </c>
      <c r="S810" s="143">
        <v>1296</v>
      </c>
      <c r="W810" s="16">
        <v>79.6</v>
      </c>
      <c r="X810" s="2">
        <v>7.96</v>
      </c>
      <c r="Y810" s="2">
        <v>39.8</v>
      </c>
    </row>
    <row r="811" spans="18:25" ht="12.75">
      <c r="R811" s="142">
        <v>79.7</v>
      </c>
      <c r="S811" s="143">
        <v>1297</v>
      </c>
      <c r="W811" s="16">
        <v>79.7</v>
      </c>
      <c r="X811" s="2">
        <v>7.97</v>
      </c>
      <c r="Y811" s="2">
        <v>39.85</v>
      </c>
    </row>
    <row r="812" spans="18:25" ht="12.75">
      <c r="R812" s="142">
        <v>79.8</v>
      </c>
      <c r="S812" s="143">
        <v>1298</v>
      </c>
      <c r="W812" s="16">
        <v>79.8</v>
      </c>
      <c r="X812" s="2">
        <v>7.98</v>
      </c>
      <c r="Y812" s="2">
        <v>39.9</v>
      </c>
    </row>
    <row r="813" spans="18:25" ht="12.75">
      <c r="R813" s="142">
        <v>79.9</v>
      </c>
      <c r="S813" s="143">
        <v>1299</v>
      </c>
      <c r="W813" s="16">
        <v>79.9</v>
      </c>
      <c r="X813" s="2">
        <v>7.99</v>
      </c>
      <c r="Y813" s="2">
        <v>39.95</v>
      </c>
    </row>
    <row r="814" spans="18:25" ht="12.75">
      <c r="R814" s="142">
        <v>80</v>
      </c>
      <c r="S814" s="143">
        <v>1300</v>
      </c>
      <c r="W814" s="16">
        <v>80</v>
      </c>
      <c r="X814" s="2">
        <v>8</v>
      </c>
      <c r="Y814" s="2">
        <v>40</v>
      </c>
    </row>
    <row r="815" spans="18:25" ht="12.75">
      <c r="R815" s="142">
        <v>80.1</v>
      </c>
      <c r="S815" s="143">
        <v>1301</v>
      </c>
      <c r="W815" s="16">
        <v>80.1</v>
      </c>
      <c r="X815" s="2">
        <v>8.01</v>
      </c>
      <c r="Y815" s="2">
        <v>40.05</v>
      </c>
    </row>
    <row r="816" spans="18:25" ht="12.75">
      <c r="R816" s="142">
        <v>80.2</v>
      </c>
      <c r="S816" s="143">
        <v>1302</v>
      </c>
      <c r="W816" s="16">
        <v>80.2</v>
      </c>
      <c r="X816" s="2">
        <v>8.02</v>
      </c>
      <c r="Y816" s="2">
        <v>40.1</v>
      </c>
    </row>
    <row r="817" spans="18:25" ht="12.75">
      <c r="R817" s="142">
        <v>80.3</v>
      </c>
      <c r="S817" s="143">
        <v>1303</v>
      </c>
      <c r="W817" s="16">
        <v>80.3</v>
      </c>
      <c r="X817" s="2">
        <v>8.03</v>
      </c>
      <c r="Y817" s="2">
        <v>40.15</v>
      </c>
    </row>
    <row r="818" spans="18:25" ht="12.75">
      <c r="R818" s="142">
        <v>80.4</v>
      </c>
      <c r="S818" s="143">
        <v>1304</v>
      </c>
      <c r="W818" s="16">
        <v>80.4</v>
      </c>
      <c r="X818" s="2">
        <v>8.04</v>
      </c>
      <c r="Y818" s="2">
        <v>40.2</v>
      </c>
    </row>
    <row r="819" spans="18:25" ht="12.75">
      <c r="R819" s="142">
        <v>80.5</v>
      </c>
      <c r="S819" s="143">
        <v>1305</v>
      </c>
      <c r="W819" s="16">
        <v>80.5</v>
      </c>
      <c r="X819" s="2">
        <v>8.05</v>
      </c>
      <c r="Y819" s="2">
        <v>40.25</v>
      </c>
    </row>
    <row r="820" spans="18:25" ht="12.75">
      <c r="R820" s="142">
        <v>80.6</v>
      </c>
      <c r="S820" s="143">
        <v>1306</v>
      </c>
      <c r="W820" s="16">
        <v>80.6</v>
      </c>
      <c r="X820" s="2">
        <v>8.06</v>
      </c>
      <c r="Y820" s="2">
        <v>40.3</v>
      </c>
    </row>
    <row r="821" spans="18:25" ht="12.75">
      <c r="R821" s="142">
        <v>80.7</v>
      </c>
      <c r="S821" s="143">
        <v>1307</v>
      </c>
      <c r="W821" s="16">
        <v>80.7</v>
      </c>
      <c r="X821" s="2">
        <v>8.07</v>
      </c>
      <c r="Y821" s="2">
        <v>40.35</v>
      </c>
    </row>
    <row r="822" spans="18:25" ht="12.75">
      <c r="R822" s="142">
        <v>80.8</v>
      </c>
      <c r="S822" s="143">
        <v>1308</v>
      </c>
      <c r="W822" s="16">
        <v>80.8</v>
      </c>
      <c r="X822" s="2">
        <v>8.08</v>
      </c>
      <c r="Y822" s="2">
        <v>40.4</v>
      </c>
    </row>
    <row r="823" spans="18:25" ht="12.75">
      <c r="R823" s="142">
        <v>80.9</v>
      </c>
      <c r="S823" s="143">
        <v>1309</v>
      </c>
      <c r="W823" s="16">
        <v>80.9</v>
      </c>
      <c r="X823" s="2">
        <v>8.09</v>
      </c>
      <c r="Y823" s="2">
        <v>40.45</v>
      </c>
    </row>
    <row r="824" spans="18:25" ht="12.75">
      <c r="R824" s="142">
        <v>81</v>
      </c>
      <c r="S824" s="143">
        <v>1310</v>
      </c>
      <c r="W824" s="16">
        <v>81</v>
      </c>
      <c r="X824" s="2">
        <v>8.1</v>
      </c>
      <c r="Y824" s="2">
        <v>40.5</v>
      </c>
    </row>
    <row r="825" spans="18:25" ht="12.75">
      <c r="R825" s="142">
        <v>81.1</v>
      </c>
      <c r="S825" s="143">
        <v>1311</v>
      </c>
      <c r="W825" s="16">
        <v>81.1</v>
      </c>
      <c r="X825" s="2">
        <v>8.11</v>
      </c>
      <c r="Y825" s="2">
        <v>40.55</v>
      </c>
    </row>
    <row r="826" spans="18:25" ht="12.75">
      <c r="R826" s="142">
        <v>81.2</v>
      </c>
      <c r="S826" s="143">
        <v>1312</v>
      </c>
      <c r="W826" s="16">
        <v>81.2</v>
      </c>
      <c r="X826" s="2">
        <v>8.12</v>
      </c>
      <c r="Y826" s="2">
        <v>40.6</v>
      </c>
    </row>
    <row r="827" spans="18:25" ht="12.75">
      <c r="R827" s="142">
        <v>81.3</v>
      </c>
      <c r="S827" s="143">
        <v>1313</v>
      </c>
      <c r="W827" s="16">
        <v>81.3</v>
      </c>
      <c r="X827" s="2">
        <v>8.13</v>
      </c>
      <c r="Y827" s="2">
        <v>40.65</v>
      </c>
    </row>
    <row r="828" spans="18:25" ht="12.75">
      <c r="R828" s="142">
        <v>81.4</v>
      </c>
      <c r="S828" s="143">
        <v>1314</v>
      </c>
      <c r="W828" s="16">
        <v>81.4</v>
      </c>
      <c r="X828" s="2">
        <v>8.14</v>
      </c>
      <c r="Y828" s="2">
        <v>40.7</v>
      </c>
    </row>
    <row r="829" spans="18:25" ht="12.75">
      <c r="R829" s="142">
        <v>81.5</v>
      </c>
      <c r="S829" s="143">
        <v>1315</v>
      </c>
      <c r="W829" s="16">
        <v>81.5</v>
      </c>
      <c r="X829" s="2">
        <v>8.15</v>
      </c>
      <c r="Y829" s="2">
        <v>40.75</v>
      </c>
    </row>
    <row r="830" spans="18:25" ht="12.75">
      <c r="R830" s="142">
        <v>81.6</v>
      </c>
      <c r="S830" s="143">
        <v>1316</v>
      </c>
      <c r="W830" s="16">
        <v>81.6</v>
      </c>
      <c r="X830" s="2">
        <v>8.16</v>
      </c>
      <c r="Y830" s="2">
        <v>40.8</v>
      </c>
    </row>
    <row r="831" spans="18:25" ht="12.75">
      <c r="R831" s="142">
        <v>81.7</v>
      </c>
      <c r="S831" s="143">
        <v>1317</v>
      </c>
      <c r="W831" s="16">
        <v>81.7</v>
      </c>
      <c r="X831" s="2">
        <v>8.17</v>
      </c>
      <c r="Y831" s="2">
        <v>40.85</v>
      </c>
    </row>
    <row r="832" spans="18:25" ht="12.75">
      <c r="R832" s="142">
        <v>81.8</v>
      </c>
      <c r="S832" s="143">
        <v>1318</v>
      </c>
      <c r="W832" s="16">
        <v>81.8</v>
      </c>
      <c r="X832" s="2">
        <v>8.18</v>
      </c>
      <c r="Y832" s="2">
        <v>40.9</v>
      </c>
    </row>
    <row r="833" spans="18:25" ht="12.75">
      <c r="R833" s="142">
        <v>81.9</v>
      </c>
      <c r="S833" s="143">
        <v>1319</v>
      </c>
      <c r="W833" s="16">
        <v>81.9</v>
      </c>
      <c r="X833" s="2">
        <v>8.19</v>
      </c>
      <c r="Y833" s="2">
        <v>40.95</v>
      </c>
    </row>
    <row r="834" spans="18:25" ht="12.75">
      <c r="R834" s="142">
        <v>82</v>
      </c>
      <c r="S834" s="143">
        <v>1320</v>
      </c>
      <c r="W834" s="16">
        <v>82</v>
      </c>
      <c r="X834" s="2">
        <v>8.2</v>
      </c>
      <c r="Y834" s="2">
        <v>41</v>
      </c>
    </row>
    <row r="835" spans="18:25" ht="12.75">
      <c r="R835" s="142">
        <v>82.1</v>
      </c>
      <c r="S835" s="143">
        <v>1321</v>
      </c>
      <c r="W835" s="16">
        <v>82.1</v>
      </c>
      <c r="X835" s="2">
        <v>8.21</v>
      </c>
      <c r="Y835" s="2">
        <v>41.05</v>
      </c>
    </row>
    <row r="836" spans="18:25" ht="12.75">
      <c r="R836" s="142">
        <v>82.2</v>
      </c>
      <c r="S836" s="143">
        <v>1322</v>
      </c>
      <c r="W836" s="16">
        <v>82.2</v>
      </c>
      <c r="X836" s="2">
        <v>8.22</v>
      </c>
      <c r="Y836" s="2">
        <v>41.1</v>
      </c>
    </row>
    <row r="837" spans="18:25" ht="12.75">
      <c r="R837" s="142">
        <v>82.3</v>
      </c>
      <c r="S837" s="143">
        <v>1323</v>
      </c>
      <c r="W837" s="16">
        <v>82.3</v>
      </c>
      <c r="X837" s="2">
        <v>8.23</v>
      </c>
      <c r="Y837" s="2">
        <v>41.15</v>
      </c>
    </row>
    <row r="838" spans="18:25" ht="12.75">
      <c r="R838" s="142">
        <v>82.4</v>
      </c>
      <c r="S838" s="143">
        <v>1324</v>
      </c>
      <c r="W838" s="16">
        <v>82.4</v>
      </c>
      <c r="X838" s="2">
        <v>8.24</v>
      </c>
      <c r="Y838" s="2">
        <v>41.2</v>
      </c>
    </row>
    <row r="839" spans="18:25" ht="12.75">
      <c r="R839" s="142">
        <v>82.5</v>
      </c>
      <c r="S839" s="143">
        <v>1325</v>
      </c>
      <c r="W839" s="16">
        <v>82.5</v>
      </c>
      <c r="X839" s="2">
        <v>8.25</v>
      </c>
      <c r="Y839" s="2">
        <v>41.25</v>
      </c>
    </row>
    <row r="840" spans="18:25" ht="12.75">
      <c r="R840" s="142">
        <v>82.6</v>
      </c>
      <c r="S840" s="143">
        <v>1326</v>
      </c>
      <c r="W840" s="16">
        <v>82.6</v>
      </c>
      <c r="X840" s="2">
        <v>8.26</v>
      </c>
      <c r="Y840" s="2">
        <v>41.3</v>
      </c>
    </row>
    <row r="841" spans="18:25" ht="12.75">
      <c r="R841" s="142">
        <v>82.7</v>
      </c>
      <c r="S841" s="143">
        <v>1327</v>
      </c>
      <c r="W841" s="16">
        <v>82.7</v>
      </c>
      <c r="X841" s="2">
        <v>8.27</v>
      </c>
      <c r="Y841" s="2">
        <v>41.35</v>
      </c>
    </row>
    <row r="842" spans="18:25" ht="12.75">
      <c r="R842" s="142">
        <v>82.8</v>
      </c>
      <c r="S842" s="143">
        <v>1328</v>
      </c>
      <c r="W842" s="16">
        <v>82.8</v>
      </c>
      <c r="X842" s="2">
        <v>8.28</v>
      </c>
      <c r="Y842" s="2">
        <v>41.4</v>
      </c>
    </row>
    <row r="843" spans="18:25" ht="12.75">
      <c r="R843" s="142">
        <v>82.9</v>
      </c>
      <c r="S843" s="143">
        <v>1329</v>
      </c>
      <c r="W843" s="16">
        <v>82.9</v>
      </c>
      <c r="X843" s="2">
        <v>8.29</v>
      </c>
      <c r="Y843" s="2">
        <v>41.45</v>
      </c>
    </row>
    <row r="844" spans="18:25" ht="12.75">
      <c r="R844" s="142">
        <v>83</v>
      </c>
      <c r="S844" s="143">
        <v>1330</v>
      </c>
      <c r="W844" s="16">
        <v>83</v>
      </c>
      <c r="X844" s="2">
        <v>8.3</v>
      </c>
      <c r="Y844" s="2">
        <v>41.5</v>
      </c>
    </row>
    <row r="845" spans="18:25" ht="12.75">
      <c r="R845" s="142">
        <v>83.1</v>
      </c>
      <c r="S845" s="143">
        <v>1331</v>
      </c>
      <c r="W845" s="16">
        <v>83.1</v>
      </c>
      <c r="X845" s="2">
        <v>8.31</v>
      </c>
      <c r="Y845" s="2">
        <v>41.55</v>
      </c>
    </row>
    <row r="846" spans="18:25" ht="12.75">
      <c r="R846" s="142">
        <v>83.2</v>
      </c>
      <c r="S846" s="143">
        <v>1332</v>
      </c>
      <c r="W846" s="16">
        <v>83.2</v>
      </c>
      <c r="X846" s="2">
        <v>8.32</v>
      </c>
      <c r="Y846" s="2">
        <v>41.6</v>
      </c>
    </row>
    <row r="847" spans="18:25" ht="12.75">
      <c r="R847" s="142">
        <v>83.3</v>
      </c>
      <c r="S847" s="143">
        <v>1333</v>
      </c>
      <c r="W847" s="16">
        <v>83.3</v>
      </c>
      <c r="X847" s="2">
        <v>8.33</v>
      </c>
      <c r="Y847" s="2">
        <v>41.65</v>
      </c>
    </row>
    <row r="848" spans="18:25" ht="12.75">
      <c r="R848" s="142">
        <v>83.4</v>
      </c>
      <c r="S848" s="143">
        <v>1334</v>
      </c>
      <c r="W848" s="16">
        <v>83.4</v>
      </c>
      <c r="X848" s="2">
        <v>8.34</v>
      </c>
      <c r="Y848" s="2">
        <v>41.7</v>
      </c>
    </row>
    <row r="849" spans="18:25" ht="12.75">
      <c r="R849" s="142">
        <v>83.5</v>
      </c>
      <c r="S849" s="143">
        <v>1335</v>
      </c>
      <c r="W849" s="16">
        <v>83.5</v>
      </c>
      <c r="X849" s="2">
        <v>8.35</v>
      </c>
      <c r="Y849" s="2">
        <v>41.75</v>
      </c>
    </row>
    <row r="850" spans="18:25" ht="12.75">
      <c r="R850" s="142">
        <v>83.6</v>
      </c>
      <c r="S850" s="143">
        <v>1336</v>
      </c>
      <c r="W850" s="16">
        <v>83.6</v>
      </c>
      <c r="X850" s="2">
        <v>8.36</v>
      </c>
      <c r="Y850" s="2">
        <v>41.8</v>
      </c>
    </row>
    <row r="851" spans="18:25" ht="12.75">
      <c r="R851" s="142">
        <v>83.7</v>
      </c>
      <c r="S851" s="143">
        <v>1337</v>
      </c>
      <c r="W851" s="16">
        <v>83.7</v>
      </c>
      <c r="X851" s="2">
        <v>8.37</v>
      </c>
      <c r="Y851" s="2">
        <v>41.85</v>
      </c>
    </row>
    <row r="852" spans="18:25" ht="12.75">
      <c r="R852" s="142">
        <v>83.8</v>
      </c>
      <c r="S852" s="143">
        <v>1338</v>
      </c>
      <c r="W852" s="16">
        <v>83.8</v>
      </c>
      <c r="X852" s="2">
        <v>8.38</v>
      </c>
      <c r="Y852" s="2">
        <v>41.9</v>
      </c>
    </row>
    <row r="853" spans="18:25" ht="12.75">
      <c r="R853" s="142">
        <v>83.9</v>
      </c>
      <c r="S853" s="143">
        <v>1339</v>
      </c>
      <c r="W853" s="16">
        <v>83.9</v>
      </c>
      <c r="X853" s="2">
        <v>8.39</v>
      </c>
      <c r="Y853" s="2">
        <v>41.95</v>
      </c>
    </row>
    <row r="854" spans="18:25" ht="12.75">
      <c r="R854" s="142">
        <v>84</v>
      </c>
      <c r="S854" s="143">
        <v>1340</v>
      </c>
      <c r="W854" s="16">
        <v>84</v>
      </c>
      <c r="X854" s="2">
        <v>8.4</v>
      </c>
      <c r="Y854" s="2">
        <v>42</v>
      </c>
    </row>
    <row r="855" spans="18:25" ht="12.75">
      <c r="R855" s="142">
        <v>84.1</v>
      </c>
      <c r="S855" s="143">
        <v>1341</v>
      </c>
      <c r="W855" s="16">
        <v>84.1</v>
      </c>
      <c r="X855" s="2">
        <v>8.41</v>
      </c>
      <c r="Y855" s="2">
        <v>42.05</v>
      </c>
    </row>
    <row r="856" spans="18:25" ht="12.75">
      <c r="R856" s="142">
        <v>84.2</v>
      </c>
      <c r="S856" s="143">
        <v>1342</v>
      </c>
      <c r="W856" s="16">
        <v>84.2</v>
      </c>
      <c r="X856" s="2">
        <v>8.42</v>
      </c>
      <c r="Y856" s="2">
        <v>42.1</v>
      </c>
    </row>
    <row r="857" spans="18:25" ht="12.75">
      <c r="R857" s="142">
        <v>84.3</v>
      </c>
      <c r="S857" s="143">
        <v>1343</v>
      </c>
      <c r="W857" s="16">
        <v>84.3</v>
      </c>
      <c r="X857" s="2">
        <v>8.43</v>
      </c>
      <c r="Y857" s="2">
        <v>42.15</v>
      </c>
    </row>
    <row r="858" spans="18:25" ht="12.75">
      <c r="R858" s="142">
        <v>84.4</v>
      </c>
      <c r="S858" s="143">
        <v>1344</v>
      </c>
      <c r="W858" s="16">
        <v>84.4</v>
      </c>
      <c r="X858" s="2">
        <v>8.44</v>
      </c>
      <c r="Y858" s="2">
        <v>42.2</v>
      </c>
    </row>
    <row r="859" spans="18:25" ht="12.75">
      <c r="R859" s="142">
        <v>84.5</v>
      </c>
      <c r="S859" s="143">
        <v>1345</v>
      </c>
      <c r="W859" s="16">
        <v>84.5</v>
      </c>
      <c r="X859" s="2">
        <v>8.45</v>
      </c>
      <c r="Y859" s="2">
        <v>42.25</v>
      </c>
    </row>
    <row r="860" spans="18:25" ht="12.75">
      <c r="R860" s="142">
        <v>84.6</v>
      </c>
      <c r="S860" s="143">
        <v>1346</v>
      </c>
      <c r="W860" s="16">
        <v>84.6</v>
      </c>
      <c r="X860" s="2">
        <v>8.46</v>
      </c>
      <c r="Y860" s="2">
        <v>42.3</v>
      </c>
    </row>
    <row r="861" spans="18:25" ht="12.75">
      <c r="R861" s="142">
        <v>84.7</v>
      </c>
      <c r="S861" s="143">
        <v>1347</v>
      </c>
      <c r="W861" s="16">
        <v>84.7</v>
      </c>
      <c r="X861" s="2">
        <v>8.47</v>
      </c>
      <c r="Y861" s="2">
        <v>42.35</v>
      </c>
    </row>
    <row r="862" spans="18:25" ht="12.75">
      <c r="R862" s="142">
        <v>84.8</v>
      </c>
      <c r="S862" s="143">
        <v>1348</v>
      </c>
      <c r="W862" s="16">
        <v>84.8</v>
      </c>
      <c r="X862" s="2">
        <v>8.48</v>
      </c>
      <c r="Y862" s="2">
        <v>42.4</v>
      </c>
    </row>
    <row r="863" spans="18:25" ht="12.75">
      <c r="R863" s="142">
        <v>84.9</v>
      </c>
      <c r="S863" s="143">
        <v>1349</v>
      </c>
      <c r="W863" s="16">
        <v>84.9</v>
      </c>
      <c r="X863" s="2">
        <v>8.49</v>
      </c>
      <c r="Y863" s="2">
        <v>42.45</v>
      </c>
    </row>
    <row r="864" spans="18:25" ht="12.75">
      <c r="R864" s="142">
        <v>85</v>
      </c>
      <c r="S864" s="143">
        <v>1350</v>
      </c>
      <c r="W864" s="16">
        <v>85</v>
      </c>
      <c r="X864" s="2">
        <v>8.5</v>
      </c>
      <c r="Y864" s="2">
        <v>42.5</v>
      </c>
    </row>
    <row r="865" spans="18:25" ht="12.75">
      <c r="R865" s="142">
        <v>85.1</v>
      </c>
      <c r="S865" s="143">
        <v>1351</v>
      </c>
      <c r="W865" s="16">
        <v>85.1</v>
      </c>
      <c r="X865" s="2">
        <v>8.51</v>
      </c>
      <c r="Y865" s="2">
        <v>42.55</v>
      </c>
    </row>
    <row r="866" spans="18:25" ht="12.75">
      <c r="R866" s="142">
        <v>85.2</v>
      </c>
      <c r="S866" s="143">
        <v>1352</v>
      </c>
      <c r="W866" s="16">
        <v>85.2</v>
      </c>
      <c r="X866" s="2">
        <v>8.52</v>
      </c>
      <c r="Y866" s="2">
        <v>42.6</v>
      </c>
    </row>
    <row r="867" spans="18:25" ht="12.75">
      <c r="R867" s="142">
        <v>85.3</v>
      </c>
      <c r="S867" s="143">
        <v>1353</v>
      </c>
      <c r="W867" s="16">
        <v>85.3</v>
      </c>
      <c r="X867" s="2">
        <v>8.53</v>
      </c>
      <c r="Y867" s="2">
        <v>42.65</v>
      </c>
    </row>
    <row r="868" spans="18:25" ht="12.75">
      <c r="R868" s="142">
        <v>85.4</v>
      </c>
      <c r="S868" s="143">
        <v>1354</v>
      </c>
      <c r="W868" s="16">
        <v>85.4</v>
      </c>
      <c r="X868" s="2">
        <v>8.54</v>
      </c>
      <c r="Y868" s="2">
        <v>42.7</v>
      </c>
    </row>
    <row r="869" spans="18:25" ht="12.75">
      <c r="R869" s="142">
        <v>85.5</v>
      </c>
      <c r="S869" s="143">
        <v>1355</v>
      </c>
      <c r="W869" s="16">
        <v>85.5</v>
      </c>
      <c r="X869" s="2">
        <v>8.55</v>
      </c>
      <c r="Y869" s="2">
        <v>42.75</v>
      </c>
    </row>
    <row r="870" spans="18:25" ht="12.75">
      <c r="R870" s="142">
        <v>85.6</v>
      </c>
      <c r="S870" s="143">
        <v>1356</v>
      </c>
      <c r="W870" s="16">
        <v>85.6</v>
      </c>
      <c r="X870" s="2">
        <v>8.56</v>
      </c>
      <c r="Y870" s="2">
        <v>42.8</v>
      </c>
    </row>
    <row r="871" spans="18:25" ht="12.75">
      <c r="R871" s="142">
        <v>85.7</v>
      </c>
      <c r="S871" s="143">
        <v>1357</v>
      </c>
      <c r="W871" s="16">
        <v>85.7</v>
      </c>
      <c r="X871" s="2">
        <v>8.57</v>
      </c>
      <c r="Y871" s="2">
        <v>42.85</v>
      </c>
    </row>
    <row r="872" spans="18:25" ht="12.75">
      <c r="R872" s="142">
        <v>85.8</v>
      </c>
      <c r="S872" s="143">
        <v>1358</v>
      </c>
      <c r="W872" s="16">
        <v>85.8</v>
      </c>
      <c r="X872" s="2">
        <v>8.58</v>
      </c>
      <c r="Y872" s="2">
        <v>42.9</v>
      </c>
    </row>
    <row r="873" spans="18:25" ht="12.75">
      <c r="R873" s="142">
        <v>85.9</v>
      </c>
      <c r="S873" s="143">
        <v>1359</v>
      </c>
      <c r="W873" s="16">
        <v>85.9</v>
      </c>
      <c r="X873" s="2">
        <v>8.59</v>
      </c>
      <c r="Y873" s="2">
        <v>42.95</v>
      </c>
    </row>
    <row r="874" spans="18:25" ht="12.75">
      <c r="R874" s="142">
        <v>86</v>
      </c>
      <c r="S874" s="143">
        <v>1360</v>
      </c>
      <c r="W874" s="16">
        <v>86</v>
      </c>
      <c r="X874" s="2">
        <v>8.6</v>
      </c>
      <c r="Y874" s="2">
        <v>43</v>
      </c>
    </row>
    <row r="875" spans="18:25" ht="12.75">
      <c r="R875" s="142">
        <v>86.1</v>
      </c>
      <c r="S875" s="143">
        <v>1361</v>
      </c>
      <c r="W875" s="16">
        <v>86.1</v>
      </c>
      <c r="X875" s="2">
        <v>8.61</v>
      </c>
      <c r="Y875" s="2">
        <v>43.05</v>
      </c>
    </row>
    <row r="876" spans="18:25" ht="12.75">
      <c r="R876" s="142">
        <v>86.2</v>
      </c>
      <c r="S876" s="143">
        <v>1362</v>
      </c>
      <c r="W876" s="16">
        <v>86.2</v>
      </c>
      <c r="X876" s="2">
        <v>8.62</v>
      </c>
      <c r="Y876" s="2">
        <v>43.1</v>
      </c>
    </row>
    <row r="877" spans="18:25" ht="12.75">
      <c r="R877" s="142">
        <v>86.3</v>
      </c>
      <c r="S877" s="143">
        <v>1363</v>
      </c>
      <c r="W877" s="16">
        <v>86.3</v>
      </c>
      <c r="X877" s="2">
        <v>8.63</v>
      </c>
      <c r="Y877" s="2">
        <v>43.15</v>
      </c>
    </row>
    <row r="878" spans="18:25" ht="12.75">
      <c r="R878" s="142">
        <v>86.4</v>
      </c>
      <c r="S878" s="143">
        <v>1364</v>
      </c>
      <c r="W878" s="16">
        <v>86.4</v>
      </c>
      <c r="X878" s="2">
        <v>8.64</v>
      </c>
      <c r="Y878" s="2">
        <v>43.2</v>
      </c>
    </row>
    <row r="879" spans="18:25" ht="12.75">
      <c r="R879" s="142">
        <v>86.5</v>
      </c>
      <c r="S879" s="143">
        <v>1365</v>
      </c>
      <c r="W879" s="16">
        <v>86.5</v>
      </c>
      <c r="X879" s="2">
        <v>8.65</v>
      </c>
      <c r="Y879" s="2">
        <v>43.25</v>
      </c>
    </row>
    <row r="880" spans="18:25" ht="12.75">
      <c r="R880" s="142">
        <v>86.6</v>
      </c>
      <c r="S880" s="143">
        <v>1366</v>
      </c>
      <c r="W880" s="16">
        <v>86.6</v>
      </c>
      <c r="X880" s="2">
        <v>8.66</v>
      </c>
      <c r="Y880" s="2">
        <v>43.3</v>
      </c>
    </row>
    <row r="881" spans="18:25" ht="12.75">
      <c r="R881" s="142">
        <v>86.7</v>
      </c>
      <c r="S881" s="143">
        <v>1367</v>
      </c>
      <c r="W881" s="16">
        <v>86.7</v>
      </c>
      <c r="X881" s="2">
        <v>8.67</v>
      </c>
      <c r="Y881" s="2">
        <v>43.35</v>
      </c>
    </row>
    <row r="882" spans="18:25" ht="12.75">
      <c r="R882" s="142">
        <v>86.8</v>
      </c>
      <c r="S882" s="143">
        <v>1368</v>
      </c>
      <c r="W882" s="16">
        <v>86.8</v>
      </c>
      <c r="X882" s="2">
        <v>8.68</v>
      </c>
      <c r="Y882" s="2">
        <v>43.4</v>
      </c>
    </row>
    <row r="883" spans="18:25" ht="12.75">
      <c r="R883" s="142">
        <v>86.9</v>
      </c>
      <c r="S883" s="143">
        <v>1369</v>
      </c>
      <c r="W883" s="16">
        <v>86.9</v>
      </c>
      <c r="X883" s="2">
        <v>8.69</v>
      </c>
      <c r="Y883" s="2">
        <v>43.45</v>
      </c>
    </row>
    <row r="884" spans="18:25" ht="12.75">
      <c r="R884" s="142">
        <v>87</v>
      </c>
      <c r="S884" s="143">
        <v>1370</v>
      </c>
      <c r="W884" s="16">
        <v>87</v>
      </c>
      <c r="X884" s="2">
        <v>8.7</v>
      </c>
      <c r="Y884" s="2">
        <v>43.5</v>
      </c>
    </row>
    <row r="885" spans="18:25" ht="12.75">
      <c r="R885" s="142">
        <v>87.1</v>
      </c>
      <c r="S885" s="143">
        <v>1371</v>
      </c>
      <c r="W885" s="16">
        <v>87.1</v>
      </c>
      <c r="X885" s="2">
        <v>8.71</v>
      </c>
      <c r="Y885" s="2">
        <v>43.55</v>
      </c>
    </row>
    <row r="886" spans="18:25" ht="12.75">
      <c r="R886" s="142">
        <v>87.2</v>
      </c>
      <c r="S886" s="143">
        <v>1372</v>
      </c>
      <c r="W886" s="16">
        <v>87.2</v>
      </c>
      <c r="X886" s="2">
        <v>8.72</v>
      </c>
      <c r="Y886" s="2">
        <v>43.6</v>
      </c>
    </row>
    <row r="887" spans="18:25" ht="12.75">
      <c r="R887" s="142">
        <v>87.3</v>
      </c>
      <c r="S887" s="143">
        <v>1373</v>
      </c>
      <c r="W887" s="16">
        <v>87.3</v>
      </c>
      <c r="X887" s="2">
        <v>8.73</v>
      </c>
      <c r="Y887" s="2">
        <v>43.65</v>
      </c>
    </row>
    <row r="888" spans="18:25" ht="12.75">
      <c r="R888" s="142">
        <v>87.4</v>
      </c>
      <c r="S888" s="143">
        <v>1374</v>
      </c>
      <c r="W888" s="16">
        <v>87.4</v>
      </c>
      <c r="X888" s="2">
        <v>8.74</v>
      </c>
      <c r="Y888" s="2">
        <v>43.7</v>
      </c>
    </row>
    <row r="889" spans="18:25" ht="12.75">
      <c r="R889" s="142">
        <v>87.5</v>
      </c>
      <c r="S889" s="143">
        <v>1375</v>
      </c>
      <c r="W889" s="16">
        <v>87.5</v>
      </c>
      <c r="X889" s="2">
        <v>8.75</v>
      </c>
      <c r="Y889" s="2">
        <v>43.75</v>
      </c>
    </row>
    <row r="890" spans="18:25" ht="12.75">
      <c r="R890" s="142">
        <v>87.6</v>
      </c>
      <c r="S890" s="143">
        <v>1376</v>
      </c>
      <c r="W890" s="16">
        <v>87.6</v>
      </c>
      <c r="X890" s="2">
        <v>8.76</v>
      </c>
      <c r="Y890" s="2">
        <v>43.8</v>
      </c>
    </row>
    <row r="891" spans="18:25" ht="12.75">
      <c r="R891" s="142">
        <v>87.7</v>
      </c>
      <c r="S891" s="143">
        <v>1377</v>
      </c>
      <c r="W891" s="16">
        <v>87.7</v>
      </c>
      <c r="X891" s="2">
        <v>8.77</v>
      </c>
      <c r="Y891" s="2">
        <v>43.85</v>
      </c>
    </row>
    <row r="892" spans="18:25" ht="12.75">
      <c r="R892" s="142">
        <v>87.8</v>
      </c>
      <c r="S892" s="143">
        <v>1378</v>
      </c>
      <c r="W892" s="16">
        <v>87.8</v>
      </c>
      <c r="X892" s="2">
        <v>8.78</v>
      </c>
      <c r="Y892" s="2">
        <v>43.9</v>
      </c>
    </row>
    <row r="893" spans="18:25" ht="12.75">
      <c r="R893" s="142">
        <v>87.9</v>
      </c>
      <c r="S893" s="143">
        <v>1379</v>
      </c>
      <c r="W893" s="16">
        <v>87.9</v>
      </c>
      <c r="X893" s="2">
        <v>8.79</v>
      </c>
      <c r="Y893" s="2">
        <v>43.95</v>
      </c>
    </row>
    <row r="894" spans="18:25" ht="12.75">
      <c r="R894" s="142">
        <v>88</v>
      </c>
      <c r="S894" s="143">
        <v>1380</v>
      </c>
      <c r="W894" s="16">
        <v>88</v>
      </c>
      <c r="X894" s="2">
        <v>8.8</v>
      </c>
      <c r="Y894" s="2">
        <v>44</v>
      </c>
    </row>
    <row r="895" spans="18:25" ht="12.75">
      <c r="R895" s="142">
        <v>88.1</v>
      </c>
      <c r="S895" s="143">
        <v>1381</v>
      </c>
      <c r="W895" s="16">
        <v>88.1</v>
      </c>
      <c r="X895" s="2">
        <v>8.81</v>
      </c>
      <c r="Y895" s="2">
        <v>44.05</v>
      </c>
    </row>
    <row r="896" spans="18:25" ht="12.75">
      <c r="R896" s="142">
        <v>88.2</v>
      </c>
      <c r="S896" s="143">
        <v>1382</v>
      </c>
      <c r="W896" s="16">
        <v>88.2</v>
      </c>
      <c r="X896" s="2">
        <v>8.82</v>
      </c>
      <c r="Y896" s="2">
        <v>44.1</v>
      </c>
    </row>
    <row r="897" spans="18:25" ht="12.75">
      <c r="R897" s="142">
        <v>88.3</v>
      </c>
      <c r="S897" s="143">
        <v>1383</v>
      </c>
      <c r="W897" s="16">
        <v>88.3</v>
      </c>
      <c r="X897" s="2">
        <v>8.83</v>
      </c>
      <c r="Y897" s="2">
        <v>44.15</v>
      </c>
    </row>
    <row r="898" spans="18:25" ht="12.75">
      <c r="R898" s="142">
        <v>88.4</v>
      </c>
      <c r="S898" s="143">
        <v>1384</v>
      </c>
      <c r="W898" s="16">
        <v>88.4</v>
      </c>
      <c r="X898" s="2">
        <v>8.84</v>
      </c>
      <c r="Y898" s="2">
        <v>44.2</v>
      </c>
    </row>
    <row r="899" spans="18:25" ht="12.75">
      <c r="R899" s="142">
        <v>88.5</v>
      </c>
      <c r="S899" s="143">
        <v>1385</v>
      </c>
      <c r="W899" s="16">
        <v>88.5</v>
      </c>
      <c r="X899" s="2">
        <v>8.85</v>
      </c>
      <c r="Y899" s="2">
        <v>44.25</v>
      </c>
    </row>
    <row r="900" spans="18:25" ht="12.75">
      <c r="R900" s="142">
        <v>88.6</v>
      </c>
      <c r="S900" s="143">
        <v>1386</v>
      </c>
      <c r="W900" s="16">
        <v>88.6</v>
      </c>
      <c r="X900" s="2">
        <v>8.86</v>
      </c>
      <c r="Y900" s="2">
        <v>44.3</v>
      </c>
    </row>
    <row r="901" spans="18:25" ht="12.75">
      <c r="R901" s="142">
        <v>88.7</v>
      </c>
      <c r="S901" s="143">
        <v>1387</v>
      </c>
      <c r="W901" s="16">
        <v>88.7</v>
      </c>
      <c r="X901" s="2">
        <v>8.87</v>
      </c>
      <c r="Y901" s="2">
        <v>44.35</v>
      </c>
    </row>
    <row r="902" spans="18:25" ht="12.75">
      <c r="R902" s="142">
        <v>88.8</v>
      </c>
      <c r="S902" s="143">
        <v>1388</v>
      </c>
      <c r="W902" s="16">
        <v>88.8</v>
      </c>
      <c r="X902" s="2">
        <v>8.88</v>
      </c>
      <c r="Y902" s="2">
        <v>44.4</v>
      </c>
    </row>
    <row r="903" spans="18:25" ht="12.75">
      <c r="R903" s="142">
        <v>88.9</v>
      </c>
      <c r="S903" s="143">
        <v>1389</v>
      </c>
      <c r="W903" s="16">
        <v>88.9</v>
      </c>
      <c r="X903" s="2">
        <v>8.89</v>
      </c>
      <c r="Y903" s="2">
        <v>44.45</v>
      </c>
    </row>
    <row r="904" spans="18:25" ht="12.75">
      <c r="R904" s="142">
        <v>89</v>
      </c>
      <c r="S904" s="143">
        <v>1390</v>
      </c>
      <c r="W904" s="16">
        <v>89</v>
      </c>
      <c r="X904" s="2">
        <v>8.9</v>
      </c>
      <c r="Y904" s="2">
        <v>44.5</v>
      </c>
    </row>
    <row r="905" spans="18:25" ht="12.75">
      <c r="R905" s="142">
        <v>89.1</v>
      </c>
      <c r="S905" s="143">
        <v>1391</v>
      </c>
      <c r="W905" s="16">
        <v>89.1</v>
      </c>
      <c r="X905" s="2">
        <v>8.91</v>
      </c>
      <c r="Y905" s="2">
        <v>44.55</v>
      </c>
    </row>
    <row r="906" spans="18:25" ht="12.75">
      <c r="R906" s="142">
        <v>89.2</v>
      </c>
      <c r="S906" s="143">
        <v>1392</v>
      </c>
      <c r="W906" s="16">
        <v>89.2</v>
      </c>
      <c r="X906" s="2">
        <v>8.92</v>
      </c>
      <c r="Y906" s="2">
        <v>44.6</v>
      </c>
    </row>
    <row r="907" spans="18:25" ht="12.75">
      <c r="R907" s="142">
        <v>89.3</v>
      </c>
      <c r="S907" s="143">
        <v>1393</v>
      </c>
      <c r="W907" s="16">
        <v>89.3</v>
      </c>
      <c r="X907" s="2">
        <v>8.93</v>
      </c>
      <c r="Y907" s="2">
        <v>44.65</v>
      </c>
    </row>
    <row r="908" spans="18:25" ht="12.75">
      <c r="R908" s="142">
        <v>89.4</v>
      </c>
      <c r="S908" s="143">
        <v>1394</v>
      </c>
      <c r="W908" s="16">
        <v>89.4</v>
      </c>
      <c r="X908" s="2">
        <v>8.94</v>
      </c>
      <c r="Y908" s="2">
        <v>44.7</v>
      </c>
    </row>
    <row r="909" spans="18:25" ht="12.75">
      <c r="R909" s="142">
        <v>89.5</v>
      </c>
      <c r="S909" s="143">
        <v>1395</v>
      </c>
      <c r="W909" s="16">
        <v>89.5</v>
      </c>
      <c r="X909" s="2">
        <v>8.95</v>
      </c>
      <c r="Y909" s="2">
        <v>44.75</v>
      </c>
    </row>
    <row r="910" spans="18:25" ht="12.75">
      <c r="R910" s="142">
        <v>89.6</v>
      </c>
      <c r="S910" s="143">
        <v>1396</v>
      </c>
      <c r="W910" s="16">
        <v>89.6</v>
      </c>
      <c r="X910" s="2">
        <v>8.96</v>
      </c>
      <c r="Y910" s="2">
        <v>44.8</v>
      </c>
    </row>
    <row r="911" spans="18:25" ht="12.75">
      <c r="R911" s="142">
        <v>89.7</v>
      </c>
      <c r="S911" s="143">
        <v>1397</v>
      </c>
      <c r="W911" s="16">
        <v>89.7</v>
      </c>
      <c r="X911" s="2">
        <v>8.97</v>
      </c>
      <c r="Y911" s="2">
        <v>44.85</v>
      </c>
    </row>
    <row r="912" spans="18:25" ht="12.75">
      <c r="R912" s="142">
        <v>89.8</v>
      </c>
      <c r="S912" s="143">
        <v>1398</v>
      </c>
      <c r="W912" s="16">
        <v>89.8</v>
      </c>
      <c r="X912" s="2">
        <v>8.98</v>
      </c>
      <c r="Y912" s="2">
        <v>44.9</v>
      </c>
    </row>
    <row r="913" spans="18:25" ht="12.75">
      <c r="R913" s="142">
        <v>89.9</v>
      </c>
      <c r="S913" s="143">
        <v>1399</v>
      </c>
      <c r="W913" s="16">
        <v>89.9</v>
      </c>
      <c r="X913" s="2">
        <v>8.99</v>
      </c>
      <c r="Y913" s="2">
        <v>44.95</v>
      </c>
    </row>
    <row r="914" spans="18:25" ht="12.75">
      <c r="R914" s="142">
        <v>90</v>
      </c>
      <c r="S914" s="143">
        <v>1400</v>
      </c>
      <c r="W914" s="16">
        <v>90</v>
      </c>
      <c r="X914" s="2">
        <v>9</v>
      </c>
      <c r="Y914" s="2">
        <v>45</v>
      </c>
    </row>
    <row r="915" spans="18:25" ht="12.75">
      <c r="R915" s="142">
        <v>90.1</v>
      </c>
      <c r="S915" s="143">
        <v>1401</v>
      </c>
      <c r="W915" s="16">
        <v>90.1</v>
      </c>
      <c r="X915" s="2">
        <v>9.01</v>
      </c>
      <c r="Y915" s="2">
        <v>45.05</v>
      </c>
    </row>
    <row r="916" spans="18:25" ht="12.75">
      <c r="R916" s="142">
        <v>90.2</v>
      </c>
      <c r="S916" s="143">
        <v>1402</v>
      </c>
      <c r="W916" s="16">
        <v>90.2</v>
      </c>
      <c r="X916" s="2">
        <v>9.02</v>
      </c>
      <c r="Y916" s="2">
        <v>45.1</v>
      </c>
    </row>
    <row r="917" spans="18:25" ht="12.75">
      <c r="R917" s="142">
        <v>90.3</v>
      </c>
      <c r="S917" s="143">
        <v>1403</v>
      </c>
      <c r="W917" s="16">
        <v>90.3</v>
      </c>
      <c r="X917" s="2">
        <v>9.03</v>
      </c>
      <c r="Y917" s="2">
        <v>45.15</v>
      </c>
    </row>
    <row r="918" spans="18:25" ht="12.75">
      <c r="R918" s="142">
        <v>90.4</v>
      </c>
      <c r="S918" s="143">
        <v>1404</v>
      </c>
      <c r="W918" s="16">
        <v>90.4</v>
      </c>
      <c r="X918" s="2">
        <v>9.04</v>
      </c>
      <c r="Y918" s="2">
        <v>45.2</v>
      </c>
    </row>
    <row r="919" spans="18:25" ht="12.75">
      <c r="R919" s="142">
        <v>90.5</v>
      </c>
      <c r="S919" s="143">
        <v>1405</v>
      </c>
      <c r="W919" s="16">
        <v>90.5</v>
      </c>
      <c r="X919" s="2">
        <v>9.05</v>
      </c>
      <c r="Y919" s="2">
        <v>45.25</v>
      </c>
    </row>
    <row r="920" spans="18:25" ht="12.75">
      <c r="R920" s="142">
        <v>90.6</v>
      </c>
      <c r="S920" s="143">
        <v>1406</v>
      </c>
      <c r="W920" s="16">
        <v>90.6</v>
      </c>
      <c r="X920" s="2">
        <v>9.06</v>
      </c>
      <c r="Y920" s="2">
        <v>45.3</v>
      </c>
    </row>
    <row r="921" spans="18:25" ht="12.75">
      <c r="R921" s="142">
        <v>90.7</v>
      </c>
      <c r="S921" s="143">
        <v>1407</v>
      </c>
      <c r="W921" s="16">
        <v>90.7</v>
      </c>
      <c r="X921" s="2">
        <v>9.07</v>
      </c>
      <c r="Y921" s="2">
        <v>45.35</v>
      </c>
    </row>
    <row r="922" spans="18:25" ht="12.75">
      <c r="R922" s="142">
        <v>90.8</v>
      </c>
      <c r="S922" s="143">
        <v>1408</v>
      </c>
      <c r="W922" s="16">
        <v>90.8</v>
      </c>
      <c r="X922" s="2">
        <v>9.08</v>
      </c>
      <c r="Y922" s="2">
        <v>45.4</v>
      </c>
    </row>
    <row r="923" spans="18:25" ht="12.75">
      <c r="R923" s="142">
        <v>90.9</v>
      </c>
      <c r="S923" s="143">
        <v>1409</v>
      </c>
      <c r="W923" s="16">
        <v>90.9</v>
      </c>
      <c r="X923" s="2">
        <v>9.09</v>
      </c>
      <c r="Y923" s="2">
        <v>45.45</v>
      </c>
    </row>
    <row r="924" spans="18:25" ht="12.75">
      <c r="R924" s="142">
        <v>91</v>
      </c>
      <c r="S924" s="143">
        <v>1410</v>
      </c>
      <c r="W924" s="16">
        <v>91</v>
      </c>
      <c r="X924" s="2">
        <v>9.1</v>
      </c>
      <c r="Y924" s="2">
        <v>45.5</v>
      </c>
    </row>
    <row r="925" spans="18:25" ht="12.75">
      <c r="R925" s="142">
        <v>91.1</v>
      </c>
      <c r="S925" s="143">
        <v>1411</v>
      </c>
      <c r="W925" s="16">
        <v>91.1</v>
      </c>
      <c r="X925" s="2">
        <v>9.11</v>
      </c>
      <c r="Y925" s="2">
        <v>45.55</v>
      </c>
    </row>
    <row r="926" spans="18:25" ht="12.75">
      <c r="R926" s="142">
        <v>91.2</v>
      </c>
      <c r="S926" s="143">
        <v>1412</v>
      </c>
      <c r="W926" s="16">
        <v>91.2</v>
      </c>
      <c r="X926" s="2">
        <v>9.12</v>
      </c>
      <c r="Y926" s="2">
        <v>45.6</v>
      </c>
    </row>
    <row r="927" spans="18:25" ht="12.75">
      <c r="R927" s="142">
        <v>91.3</v>
      </c>
      <c r="S927" s="143">
        <v>1413</v>
      </c>
      <c r="W927" s="16">
        <v>91.3</v>
      </c>
      <c r="X927" s="2">
        <v>9.13</v>
      </c>
      <c r="Y927" s="2">
        <v>45.65</v>
      </c>
    </row>
    <row r="928" spans="18:25" ht="12.75">
      <c r="R928" s="142">
        <v>91.4</v>
      </c>
      <c r="S928" s="143">
        <v>1414</v>
      </c>
      <c r="W928" s="16">
        <v>91.4</v>
      </c>
      <c r="X928" s="2">
        <v>9.14</v>
      </c>
      <c r="Y928" s="2">
        <v>45.7</v>
      </c>
    </row>
    <row r="929" spans="18:25" ht="12.75">
      <c r="R929" s="142">
        <v>91.5</v>
      </c>
      <c r="S929" s="143">
        <v>1415</v>
      </c>
      <c r="W929" s="16">
        <v>91.5</v>
      </c>
      <c r="X929" s="2">
        <v>9.15</v>
      </c>
      <c r="Y929" s="2">
        <v>45.75</v>
      </c>
    </row>
    <row r="930" spans="18:25" ht="12.75">
      <c r="R930" s="142">
        <v>91.6</v>
      </c>
      <c r="S930" s="143">
        <v>1416</v>
      </c>
      <c r="W930" s="16">
        <v>91.6</v>
      </c>
      <c r="X930" s="2">
        <v>9.16</v>
      </c>
      <c r="Y930" s="2">
        <v>45.8</v>
      </c>
    </row>
    <row r="931" spans="18:25" ht="12.75">
      <c r="R931" s="142">
        <v>91.7</v>
      </c>
      <c r="S931" s="143">
        <v>1417</v>
      </c>
      <c r="W931" s="16">
        <v>91.7</v>
      </c>
      <c r="X931" s="2">
        <v>9.17</v>
      </c>
      <c r="Y931" s="2">
        <v>45.85</v>
      </c>
    </row>
    <row r="932" spans="18:25" ht="12.75">
      <c r="R932" s="142">
        <v>91.8</v>
      </c>
      <c r="S932" s="143">
        <v>1418</v>
      </c>
      <c r="W932" s="16">
        <v>91.8</v>
      </c>
      <c r="X932" s="2">
        <v>9.18</v>
      </c>
      <c r="Y932" s="2">
        <v>45.9</v>
      </c>
    </row>
    <row r="933" spans="18:25" ht="12.75">
      <c r="R933" s="142">
        <v>91.9</v>
      </c>
      <c r="S933" s="143">
        <v>1419</v>
      </c>
      <c r="W933" s="16">
        <v>91.9</v>
      </c>
      <c r="X933" s="2">
        <v>9.19</v>
      </c>
      <c r="Y933" s="2">
        <v>45.95</v>
      </c>
    </row>
    <row r="934" spans="18:25" ht="12.75">
      <c r="R934" s="142">
        <v>92</v>
      </c>
      <c r="S934" s="143">
        <v>1420</v>
      </c>
      <c r="W934" s="16">
        <v>92</v>
      </c>
      <c r="X934" s="2">
        <v>9.2</v>
      </c>
      <c r="Y934" s="2">
        <v>46</v>
      </c>
    </row>
    <row r="935" spans="18:25" ht="12.75">
      <c r="R935" s="142">
        <v>92.1</v>
      </c>
      <c r="S935" s="143">
        <v>1421</v>
      </c>
      <c r="W935" s="16">
        <v>92.1</v>
      </c>
      <c r="X935" s="2">
        <v>9.21</v>
      </c>
      <c r="Y935" s="2">
        <v>46.05</v>
      </c>
    </row>
    <row r="936" spans="18:25" ht="12.75">
      <c r="R936" s="142">
        <v>92.2</v>
      </c>
      <c r="S936" s="143">
        <v>1422</v>
      </c>
      <c r="W936" s="16">
        <v>92.2</v>
      </c>
      <c r="X936" s="2">
        <v>9.22</v>
      </c>
      <c r="Y936" s="2">
        <v>46.1</v>
      </c>
    </row>
    <row r="937" spans="18:25" ht="12.75">
      <c r="R937" s="142">
        <v>92.3</v>
      </c>
      <c r="S937" s="143">
        <v>1423</v>
      </c>
      <c r="W937" s="16">
        <v>92.3</v>
      </c>
      <c r="X937" s="2">
        <v>9.23</v>
      </c>
      <c r="Y937" s="2">
        <v>46.15</v>
      </c>
    </row>
    <row r="938" spans="18:25" ht="12.75">
      <c r="R938" s="142">
        <v>92.4</v>
      </c>
      <c r="S938" s="143">
        <v>1424</v>
      </c>
      <c r="W938" s="16">
        <v>92.4</v>
      </c>
      <c r="X938" s="2">
        <v>9.24</v>
      </c>
      <c r="Y938" s="2">
        <v>46.2</v>
      </c>
    </row>
    <row r="939" spans="18:25" ht="12.75">
      <c r="R939" s="142">
        <v>92.5</v>
      </c>
      <c r="S939" s="143">
        <v>1425</v>
      </c>
      <c r="W939" s="16">
        <v>92.5</v>
      </c>
      <c r="X939" s="2">
        <v>9.25</v>
      </c>
      <c r="Y939" s="2">
        <v>46.25</v>
      </c>
    </row>
    <row r="940" spans="18:25" ht="12.75">
      <c r="R940" s="142">
        <v>92.6</v>
      </c>
      <c r="S940" s="143">
        <v>1426</v>
      </c>
      <c r="W940" s="16">
        <v>92.6</v>
      </c>
      <c r="X940" s="2">
        <v>9.26</v>
      </c>
      <c r="Y940" s="2">
        <v>46.3</v>
      </c>
    </row>
    <row r="941" spans="18:25" ht="12.75">
      <c r="R941" s="142">
        <v>92.7</v>
      </c>
      <c r="S941" s="143">
        <v>1427</v>
      </c>
      <c r="W941" s="16">
        <v>92.7</v>
      </c>
      <c r="X941" s="2">
        <v>9.27</v>
      </c>
      <c r="Y941" s="2">
        <v>46.35</v>
      </c>
    </row>
    <row r="942" spans="18:25" ht="12.75">
      <c r="R942" s="142">
        <v>92.8</v>
      </c>
      <c r="S942" s="143">
        <v>1428</v>
      </c>
      <c r="W942" s="16">
        <v>92.8</v>
      </c>
      <c r="X942" s="2">
        <v>9.28</v>
      </c>
      <c r="Y942" s="2">
        <v>46.4</v>
      </c>
    </row>
    <row r="943" spans="18:25" ht="12.75">
      <c r="R943" s="142">
        <v>92.9</v>
      </c>
      <c r="S943" s="143">
        <v>1429</v>
      </c>
      <c r="W943" s="16">
        <v>92.9</v>
      </c>
      <c r="X943" s="2">
        <v>9.29</v>
      </c>
      <c r="Y943" s="2">
        <v>46.45</v>
      </c>
    </row>
    <row r="944" spans="18:25" ht="12.75">
      <c r="R944" s="142">
        <v>93</v>
      </c>
      <c r="S944" s="143">
        <v>1430</v>
      </c>
      <c r="W944" s="16">
        <v>93</v>
      </c>
      <c r="X944" s="2">
        <v>9.3</v>
      </c>
      <c r="Y944" s="2">
        <v>46.5</v>
      </c>
    </row>
    <row r="945" spans="18:25" ht="12.75">
      <c r="R945" s="142">
        <v>93.1</v>
      </c>
      <c r="S945" s="143">
        <v>1431</v>
      </c>
      <c r="W945" s="16">
        <v>93.1</v>
      </c>
      <c r="X945" s="2">
        <v>9.31</v>
      </c>
      <c r="Y945" s="2">
        <v>46.55</v>
      </c>
    </row>
    <row r="946" spans="18:25" ht="12.75">
      <c r="R946" s="142">
        <v>93.2</v>
      </c>
      <c r="S946" s="143">
        <v>1432</v>
      </c>
      <c r="W946" s="16">
        <v>93.2</v>
      </c>
      <c r="X946" s="2">
        <v>9.32</v>
      </c>
      <c r="Y946" s="2">
        <v>46.6</v>
      </c>
    </row>
    <row r="947" spans="18:25" ht="12.75">
      <c r="R947" s="142">
        <v>93.3</v>
      </c>
      <c r="S947" s="143">
        <v>1433</v>
      </c>
      <c r="W947" s="16">
        <v>93.3</v>
      </c>
      <c r="X947" s="2">
        <v>9.33</v>
      </c>
      <c r="Y947" s="2">
        <v>46.65</v>
      </c>
    </row>
    <row r="948" spans="18:25" ht="12.75">
      <c r="R948" s="142">
        <v>93.4</v>
      </c>
      <c r="S948" s="143">
        <v>1434</v>
      </c>
      <c r="W948" s="16">
        <v>93.4</v>
      </c>
      <c r="X948" s="2">
        <v>9.34</v>
      </c>
      <c r="Y948" s="2">
        <v>46.7</v>
      </c>
    </row>
    <row r="949" spans="18:25" ht="12.75">
      <c r="R949" s="142">
        <v>93.5</v>
      </c>
      <c r="S949" s="143">
        <v>1435</v>
      </c>
      <c r="W949" s="16">
        <v>93.5</v>
      </c>
      <c r="X949" s="2">
        <v>9.35</v>
      </c>
      <c r="Y949" s="2">
        <v>46.75</v>
      </c>
    </row>
    <row r="950" spans="18:25" ht="12.75">
      <c r="R950" s="142">
        <v>93.6</v>
      </c>
      <c r="S950" s="143">
        <v>1436</v>
      </c>
      <c r="W950" s="16">
        <v>93.6</v>
      </c>
      <c r="X950" s="2">
        <v>9.36</v>
      </c>
      <c r="Y950" s="2">
        <v>46.8</v>
      </c>
    </row>
    <row r="951" spans="18:25" ht="12.75">
      <c r="R951" s="142">
        <v>93.7</v>
      </c>
      <c r="S951" s="143">
        <v>1437</v>
      </c>
      <c r="W951" s="16">
        <v>93.7</v>
      </c>
      <c r="X951" s="2">
        <v>9.37</v>
      </c>
      <c r="Y951" s="2">
        <v>46.85</v>
      </c>
    </row>
    <row r="952" spans="18:25" ht="12.75">
      <c r="R952" s="142">
        <v>93.8</v>
      </c>
      <c r="S952" s="143">
        <v>1438</v>
      </c>
      <c r="W952" s="16">
        <v>93.8</v>
      </c>
      <c r="X952" s="2">
        <v>9.38</v>
      </c>
      <c r="Y952" s="2">
        <v>46.9</v>
      </c>
    </row>
    <row r="953" spans="18:25" ht="12.75">
      <c r="R953" s="142">
        <v>93.9</v>
      </c>
      <c r="S953" s="143">
        <v>1439</v>
      </c>
      <c r="W953" s="16">
        <v>93.9</v>
      </c>
      <c r="X953" s="2">
        <v>9.39</v>
      </c>
      <c r="Y953" s="2">
        <v>46.95</v>
      </c>
    </row>
    <row r="954" spans="18:25" ht="12.75">
      <c r="R954" s="142">
        <v>94</v>
      </c>
      <c r="S954" s="143">
        <v>1440</v>
      </c>
      <c r="W954" s="16">
        <v>94</v>
      </c>
      <c r="X954" s="2">
        <v>9.4</v>
      </c>
      <c r="Y954" s="2">
        <v>47</v>
      </c>
    </row>
    <row r="955" spans="18:25" ht="12.75">
      <c r="R955" s="142">
        <v>94.1</v>
      </c>
      <c r="S955" s="143">
        <v>1441</v>
      </c>
      <c r="W955" s="16">
        <v>94.1</v>
      </c>
      <c r="X955" s="2">
        <v>9.41</v>
      </c>
      <c r="Y955" s="2">
        <v>47.05</v>
      </c>
    </row>
    <row r="956" spans="18:25" ht="12.75">
      <c r="R956" s="142">
        <v>94.2</v>
      </c>
      <c r="S956" s="143">
        <v>1442</v>
      </c>
      <c r="W956" s="16">
        <v>94.2</v>
      </c>
      <c r="X956" s="2">
        <v>9.42</v>
      </c>
      <c r="Y956" s="2">
        <v>47.1</v>
      </c>
    </row>
    <row r="957" spans="18:25" ht="12.75">
      <c r="R957" s="142">
        <v>94.3</v>
      </c>
      <c r="S957" s="143">
        <v>1443</v>
      </c>
      <c r="W957" s="16">
        <v>94.3</v>
      </c>
      <c r="X957" s="2">
        <v>9.43</v>
      </c>
      <c r="Y957" s="2">
        <v>47.15</v>
      </c>
    </row>
    <row r="958" spans="18:25" ht="12.75">
      <c r="R958" s="142">
        <v>94.4</v>
      </c>
      <c r="S958" s="143">
        <v>1444</v>
      </c>
      <c r="W958" s="16">
        <v>94.4</v>
      </c>
      <c r="X958" s="2">
        <v>9.44</v>
      </c>
      <c r="Y958" s="2">
        <v>47.2</v>
      </c>
    </row>
    <row r="959" spans="18:25" ht="12.75">
      <c r="R959" s="142">
        <v>94.5</v>
      </c>
      <c r="S959" s="143">
        <v>1445</v>
      </c>
      <c r="W959" s="16">
        <v>94.5</v>
      </c>
      <c r="X959" s="2">
        <v>9.45</v>
      </c>
      <c r="Y959" s="2">
        <v>47.25</v>
      </c>
    </row>
    <row r="960" spans="18:25" ht="12.75">
      <c r="R960" s="142">
        <v>94.6</v>
      </c>
      <c r="S960" s="143">
        <v>1446</v>
      </c>
      <c r="W960" s="16">
        <v>94.6</v>
      </c>
      <c r="X960" s="2">
        <v>9.46</v>
      </c>
      <c r="Y960" s="2">
        <v>47.3</v>
      </c>
    </row>
    <row r="961" spans="18:25" ht="12.75">
      <c r="R961" s="142">
        <v>94.7</v>
      </c>
      <c r="S961" s="143">
        <v>1447</v>
      </c>
      <c r="W961" s="16">
        <v>94.7</v>
      </c>
      <c r="X961" s="2">
        <v>9.47</v>
      </c>
      <c r="Y961" s="2">
        <v>47.35</v>
      </c>
    </row>
    <row r="962" spans="18:25" ht="12.75">
      <c r="R962" s="142">
        <v>94.8</v>
      </c>
      <c r="S962" s="143">
        <v>1448</v>
      </c>
      <c r="W962" s="16">
        <v>94.8</v>
      </c>
      <c r="X962" s="2">
        <v>9.48</v>
      </c>
      <c r="Y962" s="2">
        <v>47.4</v>
      </c>
    </row>
    <row r="963" spans="18:25" ht="12.75">
      <c r="R963" s="142">
        <v>94.9</v>
      </c>
      <c r="S963" s="143">
        <v>1449</v>
      </c>
      <c r="W963" s="16">
        <v>94.9</v>
      </c>
      <c r="X963" s="2">
        <v>9.49</v>
      </c>
      <c r="Y963" s="2">
        <v>47.45</v>
      </c>
    </row>
    <row r="964" spans="18:25" ht="12.75">
      <c r="R964" s="142">
        <v>95</v>
      </c>
      <c r="S964" s="143">
        <v>1450</v>
      </c>
      <c r="W964" s="16">
        <v>95</v>
      </c>
      <c r="X964" s="2">
        <v>9.5</v>
      </c>
      <c r="Y964" s="2">
        <v>47.5</v>
      </c>
    </row>
    <row r="965" spans="18:25" ht="12.75">
      <c r="R965" s="142">
        <v>95.1</v>
      </c>
      <c r="S965" s="143">
        <v>1451</v>
      </c>
      <c r="W965" s="16">
        <v>95.1</v>
      </c>
      <c r="X965" s="2">
        <v>9.51</v>
      </c>
      <c r="Y965" s="2">
        <v>47.55</v>
      </c>
    </row>
    <row r="966" spans="18:25" ht="12.75">
      <c r="R966" s="142">
        <v>95.2</v>
      </c>
      <c r="S966" s="143">
        <v>1452</v>
      </c>
      <c r="W966" s="16">
        <v>95.2</v>
      </c>
      <c r="X966" s="2">
        <v>9.52</v>
      </c>
      <c r="Y966" s="2">
        <v>47.6</v>
      </c>
    </row>
    <row r="967" spans="18:25" ht="12.75">
      <c r="R967" s="142">
        <v>95.3</v>
      </c>
      <c r="S967" s="143">
        <v>1453</v>
      </c>
      <c r="W967" s="16">
        <v>95.3</v>
      </c>
      <c r="X967" s="2">
        <v>9.53</v>
      </c>
      <c r="Y967" s="2">
        <v>47.65</v>
      </c>
    </row>
    <row r="968" spans="18:25" ht="12.75">
      <c r="R968" s="142">
        <v>95.4</v>
      </c>
      <c r="S968" s="143">
        <v>1454</v>
      </c>
      <c r="W968" s="16">
        <v>95.4</v>
      </c>
      <c r="X968" s="2">
        <v>9.54</v>
      </c>
      <c r="Y968" s="2">
        <v>47.7</v>
      </c>
    </row>
    <row r="969" spans="18:25" ht="12.75">
      <c r="R969" s="142">
        <v>95.5</v>
      </c>
      <c r="S969" s="143">
        <v>1455</v>
      </c>
      <c r="W969" s="16">
        <v>95.5</v>
      </c>
      <c r="X969" s="2">
        <v>9.55</v>
      </c>
      <c r="Y969" s="2">
        <v>47.75</v>
      </c>
    </row>
    <row r="970" spans="18:25" ht="12.75">
      <c r="R970" s="142">
        <v>95.6</v>
      </c>
      <c r="S970" s="143">
        <v>1456</v>
      </c>
      <c r="W970" s="16">
        <v>95.6</v>
      </c>
      <c r="X970" s="2">
        <v>9.56</v>
      </c>
      <c r="Y970" s="2">
        <v>47.8</v>
      </c>
    </row>
    <row r="971" spans="18:25" ht="12.75">
      <c r="R971" s="142">
        <v>95.7</v>
      </c>
      <c r="S971" s="143">
        <v>1457</v>
      </c>
      <c r="W971" s="16">
        <v>95.7</v>
      </c>
      <c r="X971" s="2">
        <v>9.57</v>
      </c>
      <c r="Y971" s="2">
        <v>47.85</v>
      </c>
    </row>
    <row r="972" spans="18:25" ht="12.75">
      <c r="R972" s="142">
        <v>95.8</v>
      </c>
      <c r="S972" s="143">
        <v>1458</v>
      </c>
      <c r="W972" s="16">
        <v>95.8</v>
      </c>
      <c r="X972" s="2">
        <v>9.58</v>
      </c>
      <c r="Y972" s="2">
        <v>47.9</v>
      </c>
    </row>
    <row r="973" spans="18:25" ht="12.75">
      <c r="R973" s="142">
        <v>95.9</v>
      </c>
      <c r="S973" s="143">
        <v>1459</v>
      </c>
      <c r="W973" s="16">
        <v>95.9</v>
      </c>
      <c r="X973" s="2">
        <v>9.59</v>
      </c>
      <c r="Y973" s="2">
        <v>47.95</v>
      </c>
    </row>
    <row r="974" spans="18:25" ht="12.75">
      <c r="R974" s="142">
        <v>96</v>
      </c>
      <c r="S974" s="143">
        <v>1460</v>
      </c>
      <c r="W974" s="16">
        <v>96</v>
      </c>
      <c r="X974" s="2">
        <v>9.6</v>
      </c>
      <c r="Y974" s="2">
        <v>48</v>
      </c>
    </row>
    <row r="975" spans="18:25" ht="12.75">
      <c r="R975" s="142">
        <v>96.1</v>
      </c>
      <c r="S975" s="143">
        <v>1461</v>
      </c>
      <c r="W975" s="16">
        <v>96.1</v>
      </c>
      <c r="X975" s="2">
        <v>9.61</v>
      </c>
      <c r="Y975" s="2">
        <v>48.05</v>
      </c>
    </row>
    <row r="976" spans="18:25" ht="12.75">
      <c r="R976" s="142">
        <v>96.2</v>
      </c>
      <c r="S976" s="143">
        <v>1462</v>
      </c>
      <c r="W976" s="16">
        <v>96.2</v>
      </c>
      <c r="X976" s="2">
        <v>9.62</v>
      </c>
      <c r="Y976" s="2">
        <v>48.1</v>
      </c>
    </row>
    <row r="977" spans="18:25" ht="12.75">
      <c r="R977" s="142">
        <v>96.3</v>
      </c>
      <c r="S977" s="143">
        <v>1463</v>
      </c>
      <c r="W977" s="16">
        <v>96.3</v>
      </c>
      <c r="X977" s="2">
        <v>9.63</v>
      </c>
      <c r="Y977" s="2">
        <v>48.15</v>
      </c>
    </row>
    <row r="978" spans="18:25" ht="12.75">
      <c r="R978" s="142">
        <v>96.4</v>
      </c>
      <c r="S978" s="143">
        <v>1464</v>
      </c>
      <c r="W978" s="16">
        <v>96.4</v>
      </c>
      <c r="X978" s="2">
        <v>9.64</v>
      </c>
      <c r="Y978" s="2">
        <v>48.2</v>
      </c>
    </row>
    <row r="979" spans="18:25" ht="12.75">
      <c r="R979" s="142">
        <v>96.5</v>
      </c>
      <c r="S979" s="143">
        <v>1465</v>
      </c>
      <c r="W979" s="16">
        <v>96.5</v>
      </c>
      <c r="X979" s="2">
        <v>9.65</v>
      </c>
      <c r="Y979" s="2">
        <v>48.25</v>
      </c>
    </row>
    <row r="980" spans="18:25" ht="12.75">
      <c r="R980" s="142">
        <v>96.6</v>
      </c>
      <c r="S980" s="143">
        <v>1466</v>
      </c>
      <c r="W980" s="16">
        <v>96.6</v>
      </c>
      <c r="X980" s="2">
        <v>9.66</v>
      </c>
      <c r="Y980" s="2">
        <v>48.3</v>
      </c>
    </row>
    <row r="981" spans="18:25" ht="12.75">
      <c r="R981" s="142">
        <v>96.7</v>
      </c>
      <c r="S981" s="143">
        <v>1467</v>
      </c>
      <c r="W981" s="16">
        <v>96.7</v>
      </c>
      <c r="X981" s="2">
        <v>9.67</v>
      </c>
      <c r="Y981" s="2">
        <v>48.35</v>
      </c>
    </row>
    <row r="982" spans="18:25" ht="12.75">
      <c r="R982" s="142">
        <v>96.8</v>
      </c>
      <c r="S982" s="143">
        <v>1468</v>
      </c>
      <c r="W982" s="16">
        <v>96.8</v>
      </c>
      <c r="X982" s="2">
        <v>9.68</v>
      </c>
      <c r="Y982" s="2">
        <v>48.4</v>
      </c>
    </row>
    <row r="983" spans="18:25" ht="12.75">
      <c r="R983" s="142">
        <v>96.9</v>
      </c>
      <c r="S983" s="143">
        <v>1469</v>
      </c>
      <c r="W983" s="16">
        <v>96.9</v>
      </c>
      <c r="X983" s="2">
        <v>9.69</v>
      </c>
      <c r="Y983" s="2">
        <v>48.45</v>
      </c>
    </row>
    <row r="984" spans="18:25" ht="12.75">
      <c r="R984" s="142">
        <v>97</v>
      </c>
      <c r="S984" s="143">
        <v>1470</v>
      </c>
      <c r="W984" s="16">
        <v>97</v>
      </c>
      <c r="X984" s="2">
        <v>9.7</v>
      </c>
      <c r="Y984" s="2">
        <v>48.5</v>
      </c>
    </row>
    <row r="985" spans="18:25" ht="12.75">
      <c r="R985" s="142">
        <v>97.1</v>
      </c>
      <c r="S985" s="143">
        <v>1471</v>
      </c>
      <c r="W985" s="16">
        <v>97.1</v>
      </c>
      <c r="X985" s="2">
        <v>9.71</v>
      </c>
      <c r="Y985" s="2">
        <v>48.55</v>
      </c>
    </row>
    <row r="986" spans="18:25" ht="12.75">
      <c r="R986" s="142">
        <v>97.2</v>
      </c>
      <c r="S986" s="143">
        <v>1472</v>
      </c>
      <c r="W986" s="16">
        <v>97.2</v>
      </c>
      <c r="X986" s="2">
        <v>9.72</v>
      </c>
      <c r="Y986" s="2">
        <v>48.6</v>
      </c>
    </row>
    <row r="987" spans="18:25" ht="12.75">
      <c r="R987" s="142">
        <v>97.3</v>
      </c>
      <c r="S987" s="143">
        <v>1473</v>
      </c>
      <c r="W987" s="16">
        <v>97.3</v>
      </c>
      <c r="X987" s="2">
        <v>9.73</v>
      </c>
      <c r="Y987" s="2">
        <v>48.65</v>
      </c>
    </row>
    <row r="988" spans="18:25" ht="12.75">
      <c r="R988" s="142">
        <v>97.4</v>
      </c>
      <c r="S988" s="143">
        <v>1474</v>
      </c>
      <c r="W988" s="16">
        <v>97.4</v>
      </c>
      <c r="X988" s="2">
        <v>9.74</v>
      </c>
      <c r="Y988" s="2">
        <v>48.7</v>
      </c>
    </row>
    <row r="989" spans="18:25" ht="12.75">
      <c r="R989" s="142">
        <v>97.5</v>
      </c>
      <c r="S989" s="143">
        <v>1475</v>
      </c>
      <c r="W989" s="16">
        <v>97.5</v>
      </c>
      <c r="X989" s="2">
        <v>9.75</v>
      </c>
      <c r="Y989" s="2">
        <v>48.75</v>
      </c>
    </row>
    <row r="990" spans="18:25" ht="12.75">
      <c r="R990" s="142">
        <v>97.6</v>
      </c>
      <c r="S990" s="143">
        <v>1476</v>
      </c>
      <c r="W990" s="16">
        <v>97.6</v>
      </c>
      <c r="X990" s="2">
        <v>9.76</v>
      </c>
      <c r="Y990" s="2">
        <v>48.8</v>
      </c>
    </row>
    <row r="991" spans="18:25" ht="12.75">
      <c r="R991" s="142">
        <v>97.7</v>
      </c>
      <c r="S991" s="143">
        <v>1477</v>
      </c>
      <c r="W991" s="16">
        <v>97.7</v>
      </c>
      <c r="X991" s="2">
        <v>9.77</v>
      </c>
      <c r="Y991" s="2">
        <v>48.85</v>
      </c>
    </row>
    <row r="992" spans="18:25" ht="12.75">
      <c r="R992" s="142">
        <v>97.8</v>
      </c>
      <c r="S992" s="143">
        <v>1478</v>
      </c>
      <c r="W992" s="16">
        <v>97.8</v>
      </c>
      <c r="X992" s="2">
        <v>9.78</v>
      </c>
      <c r="Y992" s="2">
        <v>48.9</v>
      </c>
    </row>
    <row r="993" spans="18:25" ht="12.75">
      <c r="R993" s="142">
        <v>97.9</v>
      </c>
      <c r="S993" s="143">
        <v>1479</v>
      </c>
      <c r="W993" s="16">
        <v>97.9</v>
      </c>
      <c r="X993" s="2">
        <v>9.79</v>
      </c>
      <c r="Y993" s="2">
        <v>48.95</v>
      </c>
    </row>
    <row r="994" spans="18:25" ht="12.75">
      <c r="R994" s="142">
        <v>98</v>
      </c>
      <c r="S994" s="143">
        <v>1480</v>
      </c>
      <c r="W994" s="16">
        <v>98</v>
      </c>
      <c r="X994" s="2">
        <v>9.8</v>
      </c>
      <c r="Y994" s="2">
        <v>49</v>
      </c>
    </row>
    <row r="995" spans="18:25" ht="12.75">
      <c r="R995" s="142">
        <v>98.1</v>
      </c>
      <c r="S995" s="143">
        <v>1481</v>
      </c>
      <c r="W995" s="16">
        <v>98.1</v>
      </c>
      <c r="X995" s="2">
        <v>9.81</v>
      </c>
      <c r="Y995" s="2">
        <v>49.05</v>
      </c>
    </row>
    <row r="996" spans="18:25" ht="12.75">
      <c r="R996" s="142">
        <v>98.2</v>
      </c>
      <c r="S996" s="143">
        <v>1482</v>
      </c>
      <c r="W996" s="16">
        <v>98.2</v>
      </c>
      <c r="X996" s="2">
        <v>9.82</v>
      </c>
      <c r="Y996" s="2">
        <v>49.1</v>
      </c>
    </row>
    <row r="997" spans="18:25" ht="12.75">
      <c r="R997" s="142">
        <v>98.3</v>
      </c>
      <c r="S997" s="143">
        <v>1483</v>
      </c>
      <c r="W997" s="16">
        <v>98.3</v>
      </c>
      <c r="X997" s="2">
        <v>9.83</v>
      </c>
      <c r="Y997" s="2">
        <v>49.15</v>
      </c>
    </row>
    <row r="998" spans="18:25" ht="12.75">
      <c r="R998" s="142">
        <v>98.4</v>
      </c>
      <c r="S998" s="143">
        <v>1484</v>
      </c>
      <c r="W998" s="16">
        <v>98.4</v>
      </c>
      <c r="X998" s="2">
        <v>9.84</v>
      </c>
      <c r="Y998" s="2">
        <v>49.2</v>
      </c>
    </row>
    <row r="999" spans="18:25" ht="12.75">
      <c r="R999" s="142">
        <v>98.5</v>
      </c>
      <c r="S999" s="143">
        <v>1485</v>
      </c>
      <c r="W999" s="16">
        <v>98.5</v>
      </c>
      <c r="X999" s="2">
        <v>9.85</v>
      </c>
      <c r="Y999" s="2">
        <v>49.25</v>
      </c>
    </row>
    <row r="1000" spans="18:25" ht="12.75">
      <c r="R1000" s="142">
        <v>98.6</v>
      </c>
      <c r="S1000" s="143">
        <v>1486</v>
      </c>
      <c r="W1000" s="16">
        <v>98.6</v>
      </c>
      <c r="X1000" s="2">
        <v>9.86</v>
      </c>
      <c r="Y1000" s="2">
        <v>49.3</v>
      </c>
    </row>
    <row r="1001" spans="18:25" ht="12.75">
      <c r="R1001" s="142">
        <v>98.7</v>
      </c>
      <c r="S1001" s="143">
        <v>1487</v>
      </c>
      <c r="W1001" s="16">
        <v>98.7</v>
      </c>
      <c r="X1001" s="2">
        <v>9.87</v>
      </c>
      <c r="Y1001" s="2">
        <v>49.35</v>
      </c>
    </row>
    <row r="1002" spans="18:25" ht="12.75">
      <c r="R1002" s="142">
        <v>98.8</v>
      </c>
      <c r="S1002" s="143">
        <v>1488</v>
      </c>
      <c r="W1002" s="16">
        <v>98.8</v>
      </c>
      <c r="X1002" s="2">
        <v>9.88</v>
      </c>
      <c r="Y1002" s="2">
        <v>49.4</v>
      </c>
    </row>
    <row r="1003" spans="18:25" ht="12.75">
      <c r="R1003" s="142">
        <v>98.9</v>
      </c>
      <c r="S1003" s="143">
        <v>1489</v>
      </c>
      <c r="W1003" s="16">
        <v>98.9</v>
      </c>
      <c r="X1003" s="2">
        <v>9.89</v>
      </c>
      <c r="Y1003" s="2">
        <v>49.45</v>
      </c>
    </row>
    <row r="1004" spans="18:25" ht="12.75">
      <c r="R1004" s="142">
        <v>99</v>
      </c>
      <c r="S1004" s="143">
        <v>1490</v>
      </c>
      <c r="W1004" s="16">
        <v>99</v>
      </c>
      <c r="X1004" s="2">
        <v>9.9</v>
      </c>
      <c r="Y1004" s="2">
        <v>49.5</v>
      </c>
    </row>
    <row r="1005" spans="18:25" ht="12.75">
      <c r="R1005" s="142">
        <v>99.1</v>
      </c>
      <c r="S1005" s="143">
        <v>1491</v>
      </c>
      <c r="W1005" s="16">
        <v>99.1</v>
      </c>
      <c r="X1005" s="2">
        <v>9.91</v>
      </c>
      <c r="Y1005" s="2">
        <v>49.55</v>
      </c>
    </row>
    <row r="1006" spans="18:25" ht="12.75">
      <c r="R1006" s="142">
        <v>99.2</v>
      </c>
      <c r="S1006" s="143">
        <v>1492</v>
      </c>
      <c r="W1006" s="16">
        <v>99.2</v>
      </c>
      <c r="X1006" s="2">
        <v>9.92</v>
      </c>
      <c r="Y1006" s="2">
        <v>49.6</v>
      </c>
    </row>
    <row r="1007" spans="18:25" ht="12.75">
      <c r="R1007" s="142">
        <v>99.3</v>
      </c>
      <c r="S1007" s="143">
        <v>1493</v>
      </c>
      <c r="W1007" s="16">
        <v>99.3</v>
      </c>
      <c r="X1007" s="2">
        <v>9.93</v>
      </c>
      <c r="Y1007" s="2">
        <v>49.65</v>
      </c>
    </row>
    <row r="1008" spans="18:25" ht="12.75">
      <c r="R1008" s="142">
        <v>99.4</v>
      </c>
      <c r="S1008" s="143">
        <v>1494</v>
      </c>
      <c r="W1008" s="16">
        <v>99.4</v>
      </c>
      <c r="X1008" s="2">
        <v>9.94</v>
      </c>
      <c r="Y1008" s="2">
        <v>49.7</v>
      </c>
    </row>
    <row r="1009" spans="18:25" ht="12.75">
      <c r="R1009" s="142">
        <v>99.5</v>
      </c>
      <c r="S1009" s="143">
        <v>1495</v>
      </c>
      <c r="W1009" s="16">
        <v>99.5</v>
      </c>
      <c r="X1009" s="2">
        <v>9.95</v>
      </c>
      <c r="Y1009" s="2">
        <v>49.75</v>
      </c>
    </row>
    <row r="1010" spans="18:25" ht="12.75">
      <c r="R1010" s="142">
        <v>99.6</v>
      </c>
      <c r="S1010" s="143">
        <v>1496</v>
      </c>
      <c r="W1010" s="16">
        <v>99.6</v>
      </c>
      <c r="X1010" s="2">
        <v>9.96</v>
      </c>
      <c r="Y1010" s="2">
        <v>49.8</v>
      </c>
    </row>
    <row r="1011" spans="18:25" ht="12.75">
      <c r="R1011" s="142">
        <v>99.7</v>
      </c>
      <c r="S1011" s="143">
        <v>1497</v>
      </c>
      <c r="W1011" s="16">
        <v>99.7</v>
      </c>
      <c r="X1011" s="2">
        <v>9.97</v>
      </c>
      <c r="Y1011" s="2">
        <v>49.85</v>
      </c>
    </row>
    <row r="1012" spans="18:25" ht="12.75">
      <c r="R1012" s="142">
        <v>99.8</v>
      </c>
      <c r="S1012" s="143">
        <v>1498</v>
      </c>
      <c r="W1012" s="16">
        <v>99.8</v>
      </c>
      <c r="X1012" s="2">
        <v>9.98</v>
      </c>
      <c r="Y1012" s="2">
        <v>49.9</v>
      </c>
    </row>
    <row r="1013" spans="18:25" ht="12.75">
      <c r="R1013" s="142">
        <v>99.9</v>
      </c>
      <c r="S1013" s="143">
        <v>1499</v>
      </c>
      <c r="W1013" s="16">
        <v>99.9</v>
      </c>
      <c r="X1013" s="2">
        <v>9.99</v>
      </c>
      <c r="Y1013" s="2">
        <v>49.95</v>
      </c>
    </row>
    <row r="1014" spans="18:25" ht="12.75">
      <c r="R1014" s="142">
        <v>100</v>
      </c>
      <c r="S1014" s="143">
        <v>1500</v>
      </c>
      <c r="W1014" s="16">
        <v>100</v>
      </c>
      <c r="X1014" s="2">
        <v>10</v>
      </c>
      <c r="Y1014" s="2">
        <v>50</v>
      </c>
    </row>
    <row r="1015" spans="18:24" ht="12.75">
      <c r="R1015" s="142">
        <v>100.1</v>
      </c>
      <c r="S1015" s="143"/>
      <c r="X1015" s="2">
        <v>10.01</v>
      </c>
    </row>
    <row r="1016" spans="18:24" ht="12.75">
      <c r="R1016" s="142">
        <v>100.2</v>
      </c>
      <c r="S1016" s="143"/>
      <c r="X1016" s="2">
        <v>10.02</v>
      </c>
    </row>
    <row r="1017" spans="18:24" ht="12.75">
      <c r="R1017" s="142">
        <v>100.3</v>
      </c>
      <c r="S1017" s="143"/>
      <c r="X1017" s="2">
        <v>10.03</v>
      </c>
    </row>
    <row r="1018" spans="18:24" ht="12.75">
      <c r="R1018" s="142">
        <v>100.4</v>
      </c>
      <c r="X1018" s="2">
        <v>10.04</v>
      </c>
    </row>
    <row r="1019" spans="18:24" ht="12.75">
      <c r="R1019" s="142">
        <v>100.5</v>
      </c>
      <c r="X1019" s="2">
        <v>10.05</v>
      </c>
    </row>
    <row r="1020" spans="18:24" ht="12.75">
      <c r="R1020" s="142">
        <v>100.6</v>
      </c>
      <c r="X1020" s="2">
        <v>10.06</v>
      </c>
    </row>
    <row r="1021" spans="18:24" ht="12.75">
      <c r="R1021" s="142">
        <v>100.7</v>
      </c>
      <c r="X1021" s="2">
        <v>10.07</v>
      </c>
    </row>
    <row r="1022" spans="18:24" ht="12.75">
      <c r="R1022" s="142">
        <v>100.8</v>
      </c>
      <c r="X1022" s="2">
        <v>10.08</v>
      </c>
    </row>
    <row r="1023" spans="18:24" ht="12.75">
      <c r="R1023" s="142">
        <v>100.9</v>
      </c>
      <c r="X1023" s="2">
        <v>10.09</v>
      </c>
    </row>
    <row r="1024" spans="18:24" ht="12.75">
      <c r="R1024" s="142">
        <v>101</v>
      </c>
      <c r="X1024" s="2">
        <v>10.1</v>
      </c>
    </row>
    <row r="1025" spans="18:24" ht="12.75">
      <c r="R1025" s="142">
        <v>101.1</v>
      </c>
      <c r="X1025" s="2">
        <v>10.11</v>
      </c>
    </row>
    <row r="1026" spans="18:24" ht="12.75">
      <c r="R1026" s="142">
        <v>101.2</v>
      </c>
      <c r="X1026" s="2">
        <v>10.12</v>
      </c>
    </row>
    <row r="1027" spans="18:24" ht="12.75">
      <c r="R1027" s="142">
        <v>101.3</v>
      </c>
      <c r="X1027" s="2">
        <v>10.13</v>
      </c>
    </row>
    <row r="1028" spans="18:24" ht="12.75">
      <c r="R1028" s="142">
        <v>101.4</v>
      </c>
      <c r="X1028" s="2">
        <v>10.14</v>
      </c>
    </row>
    <row r="1029" spans="18:24" ht="12.75">
      <c r="R1029" s="142">
        <v>101.5</v>
      </c>
      <c r="X1029" s="2">
        <v>10.15</v>
      </c>
    </row>
    <row r="1030" spans="18:24" ht="12.75">
      <c r="R1030" s="142">
        <v>101.6</v>
      </c>
      <c r="X1030" s="2">
        <v>10.16</v>
      </c>
    </row>
    <row r="1031" spans="18:24" ht="12.75">
      <c r="R1031" s="142">
        <v>101.7</v>
      </c>
      <c r="X1031" s="2">
        <v>10.17</v>
      </c>
    </row>
    <row r="1032" spans="18:24" ht="12.75">
      <c r="R1032" s="142">
        <v>101.8</v>
      </c>
      <c r="X1032" s="2">
        <v>10.18</v>
      </c>
    </row>
    <row r="1033" spans="18:24" ht="12.75">
      <c r="R1033" s="142">
        <v>101.9</v>
      </c>
      <c r="X1033" s="2">
        <v>10.19</v>
      </c>
    </row>
    <row r="1034" spans="18:24" ht="12.75">
      <c r="R1034" s="142">
        <v>102</v>
      </c>
      <c r="X1034" s="2">
        <v>10.2</v>
      </c>
    </row>
    <row r="1035" spans="18:24" ht="12.75">
      <c r="R1035" s="142">
        <v>102.1</v>
      </c>
      <c r="X1035" s="2">
        <v>10.21</v>
      </c>
    </row>
    <row r="1036" spans="18:24" ht="12.75">
      <c r="R1036" s="142">
        <v>102.2</v>
      </c>
      <c r="X1036" s="2">
        <v>10.22</v>
      </c>
    </row>
    <row r="1037" spans="18:24" ht="12.75">
      <c r="R1037" s="142">
        <v>102.3</v>
      </c>
      <c r="X1037" s="2">
        <v>10.23</v>
      </c>
    </row>
    <row r="1038" spans="18:24" ht="12.75">
      <c r="R1038" s="142">
        <v>102.4</v>
      </c>
      <c r="X1038" s="2">
        <v>10.24</v>
      </c>
    </row>
    <row r="1039" spans="18:24" ht="12.75">
      <c r="R1039" s="142">
        <v>102.5</v>
      </c>
      <c r="X1039" s="2">
        <v>10.25</v>
      </c>
    </row>
    <row r="1040" spans="18:24" ht="12.75">
      <c r="R1040" s="142">
        <v>102.6</v>
      </c>
      <c r="X1040" s="2">
        <v>10.26</v>
      </c>
    </row>
    <row r="1041" spans="18:24" ht="12.75">
      <c r="R1041" s="142">
        <v>102.7</v>
      </c>
      <c r="X1041" s="2">
        <v>10.27</v>
      </c>
    </row>
    <row r="1042" spans="18:24" ht="12.75">
      <c r="R1042" s="142">
        <v>102.8</v>
      </c>
      <c r="X1042" s="2">
        <v>10.28</v>
      </c>
    </row>
    <row r="1043" spans="18:24" ht="12.75">
      <c r="R1043" s="142">
        <v>102.9</v>
      </c>
      <c r="X1043" s="2">
        <v>10.29</v>
      </c>
    </row>
    <row r="1044" spans="18:24" ht="12.75">
      <c r="R1044" s="142">
        <v>103</v>
      </c>
      <c r="X1044" s="2">
        <v>10.3</v>
      </c>
    </row>
    <row r="1045" spans="18:24" ht="12.75">
      <c r="R1045" s="142">
        <v>103.1</v>
      </c>
      <c r="X1045" s="2">
        <v>10.31</v>
      </c>
    </row>
    <row r="1046" spans="18:24" ht="12.75">
      <c r="R1046" s="142">
        <v>103.2</v>
      </c>
      <c r="X1046" s="2">
        <v>10.32</v>
      </c>
    </row>
    <row r="1047" spans="18:24" ht="12.75">
      <c r="R1047" s="142">
        <v>103.3</v>
      </c>
      <c r="X1047" s="2">
        <v>10.33</v>
      </c>
    </row>
    <row r="1048" spans="18:24" ht="12.75">
      <c r="R1048" s="142">
        <v>103.4</v>
      </c>
      <c r="X1048" s="2">
        <v>10.34</v>
      </c>
    </row>
    <row r="1049" spans="18:24" ht="12.75">
      <c r="R1049" s="142">
        <v>103.5</v>
      </c>
      <c r="X1049" s="2">
        <v>10.35</v>
      </c>
    </row>
    <row r="1050" spans="18:24" ht="12.75">
      <c r="R1050" s="142">
        <v>103.6</v>
      </c>
      <c r="X1050" s="2">
        <v>10.36</v>
      </c>
    </row>
    <row r="1051" spans="18:24" ht="12.75">
      <c r="R1051" s="142">
        <v>103.7</v>
      </c>
      <c r="X1051" s="2">
        <v>10.37</v>
      </c>
    </row>
    <row r="1052" spans="18:24" ht="12.75">
      <c r="R1052" s="142">
        <v>103.8</v>
      </c>
      <c r="X1052" s="2">
        <v>10.38</v>
      </c>
    </row>
    <row r="1053" spans="18:24" ht="12.75">
      <c r="R1053" s="142">
        <v>103.9</v>
      </c>
      <c r="X1053" s="2">
        <v>10.39</v>
      </c>
    </row>
    <row r="1054" spans="18:24" ht="12.75">
      <c r="R1054" s="142">
        <v>104</v>
      </c>
      <c r="X1054" s="2">
        <v>10.4</v>
      </c>
    </row>
    <row r="1055" spans="18:24" ht="12.75">
      <c r="R1055" s="142">
        <v>104.1</v>
      </c>
      <c r="X1055" s="2">
        <v>10.41</v>
      </c>
    </row>
    <row r="1056" spans="18:24" ht="12.75">
      <c r="R1056" s="142">
        <v>104.2</v>
      </c>
      <c r="X1056" s="2">
        <v>10.42</v>
      </c>
    </row>
    <row r="1057" spans="18:24" ht="12.75">
      <c r="R1057" s="142">
        <v>104.3</v>
      </c>
      <c r="X1057" s="2">
        <v>10.43</v>
      </c>
    </row>
    <row r="1058" spans="18:24" ht="12.75">
      <c r="R1058" s="142">
        <v>104.4</v>
      </c>
      <c r="X1058" s="2">
        <v>10.44</v>
      </c>
    </row>
    <row r="1059" spans="18:24" ht="12.75">
      <c r="R1059" s="142">
        <v>104.5</v>
      </c>
      <c r="X1059" s="2">
        <v>10.45</v>
      </c>
    </row>
    <row r="1060" spans="18:24" ht="12.75">
      <c r="R1060" s="142">
        <v>104.6</v>
      </c>
      <c r="X1060" s="2">
        <v>10.46</v>
      </c>
    </row>
    <row r="1061" spans="18:24" ht="12.75">
      <c r="R1061" s="142">
        <v>104.7</v>
      </c>
      <c r="X1061" s="2">
        <v>10.47</v>
      </c>
    </row>
    <row r="1062" spans="18:24" ht="12.75">
      <c r="R1062" s="142">
        <v>104.8</v>
      </c>
      <c r="X1062" s="2">
        <v>10.48</v>
      </c>
    </row>
    <row r="1063" spans="18:24" ht="12.75">
      <c r="R1063" s="142">
        <v>104.9</v>
      </c>
      <c r="X1063" s="2">
        <v>10.49</v>
      </c>
    </row>
    <row r="1064" spans="18:24" ht="12.75">
      <c r="R1064" s="142">
        <v>105</v>
      </c>
      <c r="X1064" s="2">
        <v>10.5</v>
      </c>
    </row>
    <row r="1065" spans="18:24" ht="12.75">
      <c r="R1065" s="142">
        <v>105.1</v>
      </c>
      <c r="X1065" s="2">
        <v>10.51</v>
      </c>
    </row>
    <row r="1066" spans="18:24" ht="12.75">
      <c r="R1066" s="142">
        <v>105.2</v>
      </c>
      <c r="X1066" s="2">
        <v>10.52</v>
      </c>
    </row>
    <row r="1067" spans="18:24" ht="12.75">
      <c r="R1067" s="142">
        <v>105.3</v>
      </c>
      <c r="X1067" s="2">
        <v>10.53</v>
      </c>
    </row>
    <row r="1068" spans="18:24" ht="12.75">
      <c r="R1068" s="142">
        <v>105.4</v>
      </c>
      <c r="X1068" s="2">
        <v>10.54</v>
      </c>
    </row>
    <row r="1069" spans="18:24" ht="12.75">
      <c r="R1069" s="142">
        <v>105.5</v>
      </c>
      <c r="X1069" s="2">
        <v>10.55</v>
      </c>
    </row>
    <row r="1070" spans="18:24" ht="12.75">
      <c r="R1070" s="142">
        <v>105.6</v>
      </c>
      <c r="X1070" s="2">
        <v>10.56</v>
      </c>
    </row>
    <row r="1071" spans="18:24" ht="12.75">
      <c r="R1071" s="142">
        <v>105.7</v>
      </c>
      <c r="X1071" s="2">
        <v>10.57</v>
      </c>
    </row>
    <row r="1072" spans="18:24" ht="12.75">
      <c r="R1072" s="142">
        <v>105.8</v>
      </c>
      <c r="X1072" s="2">
        <v>10.58</v>
      </c>
    </row>
    <row r="1073" spans="18:24" ht="12.75">
      <c r="R1073" s="142">
        <v>105.9</v>
      </c>
      <c r="X1073" s="2">
        <v>10.59</v>
      </c>
    </row>
    <row r="1074" spans="18:24" ht="12.75">
      <c r="R1074" s="142">
        <v>106</v>
      </c>
      <c r="X1074" s="2">
        <v>10.6</v>
      </c>
    </row>
    <row r="1075" spans="18:24" ht="12.75">
      <c r="R1075" s="142">
        <v>106.1</v>
      </c>
      <c r="X1075" s="2">
        <v>10.61</v>
      </c>
    </row>
    <row r="1076" spans="18:24" ht="12.75">
      <c r="R1076" s="142">
        <v>106.2</v>
      </c>
      <c r="X1076" s="2">
        <v>10.62</v>
      </c>
    </row>
    <row r="1077" spans="18:24" ht="12.75">
      <c r="R1077" s="142">
        <v>106.3</v>
      </c>
      <c r="X1077" s="2">
        <v>10.63</v>
      </c>
    </row>
    <row r="1078" spans="18:24" ht="12.75">
      <c r="R1078" s="142">
        <v>106.4</v>
      </c>
      <c r="X1078" s="2">
        <v>10.64</v>
      </c>
    </row>
    <row r="1079" spans="18:24" ht="12.75">
      <c r="R1079" s="142">
        <v>106.5</v>
      </c>
      <c r="X1079" s="2">
        <v>10.65</v>
      </c>
    </row>
    <row r="1080" spans="18:24" ht="12.75">
      <c r="R1080" s="142">
        <v>106.6</v>
      </c>
      <c r="X1080" s="2">
        <v>10.66</v>
      </c>
    </row>
    <row r="1081" spans="18:24" ht="12.75">
      <c r="R1081" s="142">
        <v>106.7</v>
      </c>
      <c r="X1081" s="2">
        <v>10.67</v>
      </c>
    </row>
    <row r="1082" spans="18:24" ht="12.75">
      <c r="R1082" s="142">
        <v>106.8</v>
      </c>
      <c r="X1082" s="2">
        <v>10.68</v>
      </c>
    </row>
    <row r="1083" spans="18:24" ht="12.75">
      <c r="R1083" s="142">
        <v>106.9</v>
      </c>
      <c r="X1083" s="2">
        <v>10.69</v>
      </c>
    </row>
    <row r="1084" spans="18:24" ht="12.75">
      <c r="R1084" s="142">
        <v>107</v>
      </c>
      <c r="X1084" s="2">
        <v>10.7</v>
      </c>
    </row>
    <row r="1085" spans="18:24" ht="12.75">
      <c r="R1085" s="142">
        <v>107.1</v>
      </c>
      <c r="X1085" s="2">
        <v>10.71</v>
      </c>
    </row>
    <row r="1086" spans="18:24" ht="12.75">
      <c r="R1086" s="142">
        <v>107.2</v>
      </c>
      <c r="X1086" s="2">
        <v>10.72</v>
      </c>
    </row>
    <row r="1087" spans="18:24" ht="12.75">
      <c r="R1087" s="142">
        <v>107.3</v>
      </c>
      <c r="X1087" s="2">
        <v>10.73</v>
      </c>
    </row>
    <row r="1088" spans="18:24" ht="12.75">
      <c r="R1088" s="142">
        <v>107.4</v>
      </c>
      <c r="X1088" s="2">
        <v>10.74</v>
      </c>
    </row>
    <row r="1089" spans="18:24" ht="12.75">
      <c r="R1089" s="142">
        <v>107.5</v>
      </c>
      <c r="X1089" s="2">
        <v>10.75</v>
      </c>
    </row>
    <row r="1090" spans="18:24" ht="12.75">
      <c r="R1090" s="142">
        <v>107.6</v>
      </c>
      <c r="X1090" s="2">
        <v>10.76</v>
      </c>
    </row>
    <row r="1091" spans="18:24" ht="12.75">
      <c r="R1091" s="142">
        <v>107.7</v>
      </c>
      <c r="X1091" s="2">
        <v>10.77</v>
      </c>
    </row>
    <row r="1092" spans="18:24" ht="12.75">
      <c r="R1092" s="142">
        <v>107.8</v>
      </c>
      <c r="X1092" s="2">
        <v>10.78</v>
      </c>
    </row>
    <row r="1093" spans="18:24" ht="12.75">
      <c r="R1093" s="142">
        <v>107.9</v>
      </c>
      <c r="X1093" s="2">
        <v>10.79</v>
      </c>
    </row>
    <row r="1094" spans="18:24" ht="12.75">
      <c r="R1094" s="142">
        <v>108</v>
      </c>
      <c r="X1094" s="2">
        <v>10.8</v>
      </c>
    </row>
    <row r="1095" spans="18:24" ht="12.75">
      <c r="R1095" s="142">
        <v>108.1</v>
      </c>
      <c r="X1095" s="2">
        <v>10.81</v>
      </c>
    </row>
    <row r="1096" spans="18:24" ht="12.75">
      <c r="R1096" s="142">
        <v>108.2</v>
      </c>
      <c r="X1096" s="2">
        <v>10.82</v>
      </c>
    </row>
    <row r="1097" spans="18:24" ht="12.75">
      <c r="R1097" s="142">
        <v>108.3</v>
      </c>
      <c r="X1097" s="2">
        <v>10.83</v>
      </c>
    </row>
    <row r="1098" spans="18:24" ht="12.75">
      <c r="R1098" s="142">
        <v>108.4</v>
      </c>
      <c r="X1098" s="2">
        <v>10.84</v>
      </c>
    </row>
    <row r="1099" spans="18:24" ht="12.75">
      <c r="R1099" s="142">
        <v>108.5</v>
      </c>
      <c r="X1099" s="2">
        <v>10.85</v>
      </c>
    </row>
    <row r="1100" spans="18:24" ht="12.75">
      <c r="R1100" s="142">
        <v>108.6</v>
      </c>
      <c r="X1100" s="2">
        <v>10.86</v>
      </c>
    </row>
    <row r="1101" spans="18:24" ht="12.75">
      <c r="R1101" s="142">
        <v>108.7</v>
      </c>
      <c r="X1101" s="2">
        <v>10.87</v>
      </c>
    </row>
    <row r="1102" spans="18:24" ht="12.75">
      <c r="R1102" s="142">
        <v>108.8</v>
      </c>
      <c r="X1102" s="2">
        <v>10.88</v>
      </c>
    </row>
    <row r="1103" spans="18:24" ht="12.75">
      <c r="R1103" s="142">
        <v>108.9</v>
      </c>
      <c r="X1103" s="2">
        <v>10.89</v>
      </c>
    </row>
    <row r="1104" spans="18:24" ht="12.75">
      <c r="R1104" s="142">
        <v>109</v>
      </c>
      <c r="X1104" s="2">
        <v>10.9</v>
      </c>
    </row>
    <row r="1105" spans="18:24" ht="12.75">
      <c r="R1105" s="142">
        <v>109.1</v>
      </c>
      <c r="X1105" s="2">
        <v>10.91</v>
      </c>
    </row>
    <row r="1106" spans="18:24" ht="12.75">
      <c r="R1106" s="142">
        <v>109.2</v>
      </c>
      <c r="X1106" s="2">
        <v>10.92</v>
      </c>
    </row>
    <row r="1107" spans="18:24" ht="12.75">
      <c r="R1107" s="142">
        <v>109.3</v>
      </c>
      <c r="X1107" s="2">
        <v>10.93</v>
      </c>
    </row>
    <row r="1108" spans="18:24" ht="12.75">
      <c r="R1108" s="142">
        <v>109.4</v>
      </c>
      <c r="X1108" s="2">
        <v>10.94</v>
      </c>
    </row>
    <row r="1109" spans="18:24" ht="12.75">
      <c r="R1109" s="142">
        <v>109.5</v>
      </c>
      <c r="X1109" s="2">
        <v>10.95</v>
      </c>
    </row>
    <row r="1110" spans="18:24" ht="12.75">
      <c r="R1110" s="142">
        <v>109.6</v>
      </c>
      <c r="X1110" s="2">
        <v>10.96</v>
      </c>
    </row>
    <row r="1111" spans="18:24" ht="12.75">
      <c r="R1111" s="142">
        <v>109.7</v>
      </c>
      <c r="X1111" s="2">
        <v>10.97</v>
      </c>
    </row>
    <row r="1112" spans="18:24" ht="12.75">
      <c r="R1112" s="142">
        <v>109.8</v>
      </c>
      <c r="X1112" s="2">
        <v>10.98</v>
      </c>
    </row>
    <row r="1113" spans="18:24" ht="12.75">
      <c r="R1113" s="142">
        <v>109.9</v>
      </c>
      <c r="X1113" s="2">
        <v>10.99</v>
      </c>
    </row>
    <row r="1114" spans="18:24" ht="12.75">
      <c r="R1114" s="142">
        <v>110</v>
      </c>
      <c r="X1114" s="2">
        <v>11</v>
      </c>
    </row>
    <row r="1115" spans="18:24" ht="12.75">
      <c r="R1115" s="142">
        <v>110.1</v>
      </c>
      <c r="X1115" s="2">
        <v>11.01</v>
      </c>
    </row>
    <row r="1116" spans="18:24" ht="12.75">
      <c r="R1116" s="142">
        <v>110.2</v>
      </c>
      <c r="X1116" s="2">
        <v>11.02</v>
      </c>
    </row>
    <row r="1117" spans="18:24" ht="12.75">
      <c r="R1117" s="142">
        <v>110.3</v>
      </c>
      <c r="X1117" s="2">
        <v>11.03</v>
      </c>
    </row>
    <row r="1118" spans="18:24" ht="12.75">
      <c r="R1118" s="142">
        <v>110.4</v>
      </c>
      <c r="X1118" s="2">
        <v>11.04</v>
      </c>
    </row>
    <row r="1119" spans="18:24" ht="12.75">
      <c r="R1119" s="142">
        <v>110.5</v>
      </c>
      <c r="X1119" s="2">
        <v>11.05</v>
      </c>
    </row>
    <row r="1120" spans="18:24" ht="12.75">
      <c r="R1120" s="142">
        <v>110.6</v>
      </c>
      <c r="X1120" s="2">
        <v>11.06</v>
      </c>
    </row>
    <row r="1121" spans="18:24" ht="12.75">
      <c r="R1121" s="142">
        <v>110.7</v>
      </c>
      <c r="X1121" s="2">
        <v>11.07</v>
      </c>
    </row>
    <row r="1122" spans="18:24" ht="12.75">
      <c r="R1122" s="142">
        <v>110.8</v>
      </c>
      <c r="X1122" s="2">
        <v>11.08</v>
      </c>
    </row>
    <row r="1123" spans="18:24" ht="12.75">
      <c r="R1123" s="142">
        <v>110.9</v>
      </c>
      <c r="X1123" s="2">
        <v>11.09</v>
      </c>
    </row>
    <row r="1124" spans="18:24" ht="12.75">
      <c r="R1124" s="142">
        <v>111</v>
      </c>
      <c r="X1124" s="2">
        <v>11.1</v>
      </c>
    </row>
    <row r="1125" spans="18:24" ht="12.75">
      <c r="R1125" s="142">
        <v>111.1</v>
      </c>
      <c r="X1125" s="2">
        <v>11.11</v>
      </c>
    </row>
    <row r="1126" spans="18:24" ht="12.75">
      <c r="R1126" s="142">
        <v>111.2</v>
      </c>
      <c r="X1126" s="2">
        <v>11.12</v>
      </c>
    </row>
    <row r="1127" spans="18:24" ht="12.75">
      <c r="R1127" s="142">
        <v>111.3</v>
      </c>
      <c r="X1127" s="2">
        <v>11.13</v>
      </c>
    </row>
    <row r="1128" spans="18:24" ht="12.75">
      <c r="R1128" s="142">
        <v>111.4</v>
      </c>
      <c r="X1128" s="2">
        <v>11.14</v>
      </c>
    </row>
    <row r="1129" spans="18:24" ht="12.75">
      <c r="R1129" s="142">
        <v>111.5</v>
      </c>
      <c r="X1129" s="2">
        <v>11.15</v>
      </c>
    </row>
    <row r="1130" spans="18:24" ht="12.75">
      <c r="R1130" s="142">
        <v>111.6</v>
      </c>
      <c r="X1130" s="2">
        <v>11.16</v>
      </c>
    </row>
    <row r="1131" spans="18:24" ht="12.75">
      <c r="R1131" s="142">
        <v>111.7</v>
      </c>
      <c r="X1131" s="2">
        <v>11.17</v>
      </c>
    </row>
    <row r="1132" spans="18:24" ht="12.75">
      <c r="R1132" s="142">
        <v>111.8</v>
      </c>
      <c r="X1132" s="2">
        <v>11.18</v>
      </c>
    </row>
    <row r="1133" spans="18:24" ht="12.75">
      <c r="R1133" s="142">
        <v>111.9</v>
      </c>
      <c r="X1133" s="2">
        <v>11.19</v>
      </c>
    </row>
    <row r="1134" spans="18:24" ht="12.75">
      <c r="R1134" s="142">
        <v>112</v>
      </c>
      <c r="X1134" s="2">
        <v>11.2</v>
      </c>
    </row>
    <row r="1135" spans="18:24" ht="12.75">
      <c r="R1135" s="142">
        <v>112.1</v>
      </c>
      <c r="X1135" s="2">
        <v>11.21</v>
      </c>
    </row>
    <row r="1136" spans="18:24" ht="12.75">
      <c r="R1136" s="142">
        <v>112.2</v>
      </c>
      <c r="X1136" s="2">
        <v>11.22</v>
      </c>
    </row>
    <row r="1137" spans="18:24" ht="12.75">
      <c r="R1137" s="142">
        <v>112.3</v>
      </c>
      <c r="X1137" s="2">
        <v>11.23</v>
      </c>
    </row>
    <row r="1138" spans="18:24" ht="12.75">
      <c r="R1138" s="142">
        <v>112.4</v>
      </c>
      <c r="X1138" s="2">
        <v>11.24</v>
      </c>
    </row>
    <row r="1139" spans="18:24" ht="12.75">
      <c r="R1139" s="142">
        <v>112.5</v>
      </c>
      <c r="X1139" s="2">
        <v>11.25</v>
      </c>
    </row>
    <row r="1140" spans="18:24" ht="12.75">
      <c r="R1140" s="142">
        <v>112.6</v>
      </c>
      <c r="X1140" s="2">
        <v>11.26</v>
      </c>
    </row>
    <row r="1141" spans="18:24" ht="12.75">
      <c r="R1141" s="142">
        <v>112.7</v>
      </c>
      <c r="X1141" s="2">
        <v>11.27</v>
      </c>
    </row>
    <row r="1142" spans="18:24" ht="12.75">
      <c r="R1142" s="142">
        <v>112.8</v>
      </c>
      <c r="X1142" s="2">
        <v>11.28</v>
      </c>
    </row>
    <row r="1143" spans="18:24" ht="12.75">
      <c r="R1143" s="142">
        <v>112.9</v>
      </c>
      <c r="X1143" s="2">
        <v>11.29</v>
      </c>
    </row>
    <row r="1144" spans="18:24" ht="12.75">
      <c r="R1144" s="142">
        <v>113</v>
      </c>
      <c r="X1144" s="2">
        <v>11.3</v>
      </c>
    </row>
    <row r="1145" spans="18:24" ht="12.75">
      <c r="R1145" s="142">
        <v>113.1</v>
      </c>
      <c r="X1145" s="2">
        <v>11.31</v>
      </c>
    </row>
    <row r="1146" spans="18:24" ht="12.75">
      <c r="R1146" s="142">
        <v>113.2</v>
      </c>
      <c r="X1146" s="2">
        <v>11.32</v>
      </c>
    </row>
    <row r="1147" spans="18:24" ht="12.75">
      <c r="R1147" s="142">
        <v>113.3</v>
      </c>
      <c r="X1147" s="2">
        <v>11.33</v>
      </c>
    </row>
    <row r="1148" spans="18:24" ht="12.75">
      <c r="R1148" s="142">
        <v>113.4</v>
      </c>
      <c r="X1148" s="2">
        <v>11.34</v>
      </c>
    </row>
    <row r="1149" spans="18:24" ht="12.75">
      <c r="R1149" s="142">
        <v>113.5</v>
      </c>
      <c r="X1149" s="2">
        <v>11.35</v>
      </c>
    </row>
    <row r="1150" spans="18:24" ht="12.75">
      <c r="R1150" s="142">
        <v>113.6</v>
      </c>
      <c r="X1150" s="2">
        <v>11.36</v>
      </c>
    </row>
    <row r="1151" spans="18:24" ht="12.75">
      <c r="R1151" s="142">
        <v>113.7</v>
      </c>
      <c r="X1151" s="2">
        <v>11.37</v>
      </c>
    </row>
    <row r="1152" spans="18:24" ht="12.75">
      <c r="R1152" s="142">
        <v>113.8</v>
      </c>
      <c r="X1152" s="2">
        <v>11.38</v>
      </c>
    </row>
    <row r="1153" spans="18:24" ht="12.75">
      <c r="R1153" s="142">
        <v>113.9</v>
      </c>
      <c r="X1153" s="2">
        <v>11.39</v>
      </c>
    </row>
    <row r="1154" spans="18:24" ht="12.75">
      <c r="R1154" s="142">
        <v>114</v>
      </c>
      <c r="X1154" s="2">
        <v>11.4</v>
      </c>
    </row>
    <row r="1155" spans="18:24" ht="12.75">
      <c r="R1155" s="142">
        <v>114.1</v>
      </c>
      <c r="X1155" s="2">
        <v>11.41</v>
      </c>
    </row>
    <row r="1156" spans="18:24" ht="12.75">
      <c r="R1156" s="142">
        <v>114.2</v>
      </c>
      <c r="X1156" s="2">
        <v>11.42</v>
      </c>
    </row>
    <row r="1157" spans="18:24" ht="12.75">
      <c r="R1157" s="142">
        <v>114.3</v>
      </c>
      <c r="X1157" s="2">
        <v>11.43</v>
      </c>
    </row>
    <row r="1158" spans="18:24" ht="12.75">
      <c r="R1158" s="142">
        <v>114.4</v>
      </c>
      <c r="X1158" s="2">
        <v>11.44</v>
      </c>
    </row>
    <row r="1159" spans="18:24" ht="12.75">
      <c r="R1159" s="142">
        <v>114.5</v>
      </c>
      <c r="X1159" s="2">
        <v>11.45</v>
      </c>
    </row>
    <row r="1160" spans="18:24" ht="12.75">
      <c r="R1160" s="142">
        <v>114.6</v>
      </c>
      <c r="X1160" s="2">
        <v>11.46</v>
      </c>
    </row>
    <row r="1161" spans="18:24" ht="12.75">
      <c r="R1161" s="142">
        <v>114.7</v>
      </c>
      <c r="X1161" s="2">
        <v>11.47</v>
      </c>
    </row>
    <row r="1162" spans="18:24" ht="12.75">
      <c r="R1162" s="142">
        <v>114.8</v>
      </c>
      <c r="X1162" s="2">
        <v>11.48</v>
      </c>
    </row>
    <row r="1163" spans="18:24" ht="12.75">
      <c r="R1163" s="142">
        <v>114.9</v>
      </c>
      <c r="X1163" s="2">
        <v>11.49</v>
      </c>
    </row>
    <row r="1164" spans="18:24" ht="12.75">
      <c r="R1164" s="142">
        <v>115</v>
      </c>
      <c r="X1164" s="2">
        <v>11.5</v>
      </c>
    </row>
    <row r="1165" spans="18:24" ht="12.75">
      <c r="R1165" s="142">
        <v>115.1</v>
      </c>
      <c r="X1165" s="2">
        <v>11.51</v>
      </c>
    </row>
    <row r="1166" spans="18:24" ht="12.75">
      <c r="R1166" s="142">
        <v>115.2</v>
      </c>
      <c r="X1166" s="2">
        <v>11.52</v>
      </c>
    </row>
    <row r="1167" spans="18:24" ht="12.75">
      <c r="R1167" s="142">
        <v>115.3</v>
      </c>
      <c r="X1167" s="2">
        <v>11.53</v>
      </c>
    </row>
    <row r="1168" spans="18:24" ht="12.75">
      <c r="R1168" s="142">
        <v>115.4</v>
      </c>
      <c r="X1168" s="2">
        <v>11.54</v>
      </c>
    </row>
    <row r="1169" spans="18:24" ht="12.75">
      <c r="R1169" s="142">
        <v>115.5</v>
      </c>
      <c r="X1169" s="2">
        <v>11.55</v>
      </c>
    </row>
    <row r="1170" spans="18:24" ht="12.75">
      <c r="R1170" s="142">
        <v>115.6</v>
      </c>
      <c r="X1170" s="2">
        <v>11.56</v>
      </c>
    </row>
    <row r="1171" spans="18:24" ht="12.75">
      <c r="R1171" s="142">
        <v>115.7</v>
      </c>
      <c r="X1171" s="2">
        <v>11.57</v>
      </c>
    </row>
    <row r="1172" spans="18:24" ht="12.75">
      <c r="R1172" s="142">
        <v>115.8</v>
      </c>
      <c r="X1172" s="2">
        <v>11.58</v>
      </c>
    </row>
    <row r="1173" spans="18:24" ht="12.75">
      <c r="R1173" s="142">
        <v>115.9</v>
      </c>
      <c r="X1173" s="2">
        <v>11.59</v>
      </c>
    </row>
    <row r="1174" spans="18:24" ht="12.75">
      <c r="R1174" s="142">
        <v>116</v>
      </c>
      <c r="X1174" s="2">
        <v>11.6</v>
      </c>
    </row>
    <row r="1175" spans="18:24" ht="12.75">
      <c r="R1175" s="142">
        <v>116.1</v>
      </c>
      <c r="X1175" s="2">
        <v>11.61</v>
      </c>
    </row>
    <row r="1176" spans="18:24" ht="12.75">
      <c r="R1176" s="142">
        <v>116.2</v>
      </c>
      <c r="X1176" s="2">
        <v>11.62</v>
      </c>
    </row>
    <row r="1177" spans="18:24" ht="12.75">
      <c r="R1177" s="142">
        <v>116.3</v>
      </c>
      <c r="X1177" s="2">
        <v>11.63</v>
      </c>
    </row>
    <row r="1178" spans="18:24" ht="12.75">
      <c r="R1178" s="142">
        <v>116.4</v>
      </c>
      <c r="X1178" s="2">
        <v>11.64</v>
      </c>
    </row>
    <row r="1179" spans="18:24" ht="12.75">
      <c r="R1179" s="142">
        <v>116.5</v>
      </c>
      <c r="X1179" s="2">
        <v>11.65</v>
      </c>
    </row>
    <row r="1180" spans="18:24" ht="12.75">
      <c r="R1180" s="142">
        <v>116.6</v>
      </c>
      <c r="X1180" s="2">
        <v>11.66</v>
      </c>
    </row>
    <row r="1181" spans="18:24" ht="12.75">
      <c r="R1181" s="142">
        <v>116.7</v>
      </c>
      <c r="X1181" s="2">
        <v>11.67</v>
      </c>
    </row>
    <row r="1182" spans="18:24" ht="12.75">
      <c r="R1182" s="142">
        <v>116.8</v>
      </c>
      <c r="X1182" s="2">
        <v>11.68</v>
      </c>
    </row>
    <row r="1183" spans="18:24" ht="12.75">
      <c r="R1183" s="142">
        <v>116.9</v>
      </c>
      <c r="X1183" s="2">
        <v>11.69</v>
      </c>
    </row>
    <row r="1184" spans="18:24" ht="12.75">
      <c r="R1184" s="142">
        <v>117</v>
      </c>
      <c r="X1184" s="2">
        <v>11.7</v>
      </c>
    </row>
    <row r="1185" spans="18:24" ht="12.75">
      <c r="R1185" s="142">
        <v>117.1</v>
      </c>
      <c r="X1185" s="2">
        <v>11.71</v>
      </c>
    </row>
    <row r="1186" spans="18:24" ht="12.75">
      <c r="R1186" s="142">
        <v>117.2</v>
      </c>
      <c r="X1186" s="2">
        <v>11.72</v>
      </c>
    </row>
    <row r="1187" spans="18:24" ht="12.75">
      <c r="R1187" s="142">
        <v>117.3</v>
      </c>
      <c r="X1187" s="2">
        <v>11.73</v>
      </c>
    </row>
    <row r="1188" spans="18:24" ht="12.75">
      <c r="R1188" s="142">
        <v>117.4</v>
      </c>
      <c r="X1188" s="2">
        <v>11.74</v>
      </c>
    </row>
    <row r="1189" spans="18:24" ht="12.75">
      <c r="R1189" s="142">
        <v>117.5</v>
      </c>
      <c r="X1189" s="2">
        <v>11.75</v>
      </c>
    </row>
    <row r="1190" spans="18:24" ht="12.75">
      <c r="R1190" s="142">
        <v>117.6</v>
      </c>
      <c r="X1190" s="2">
        <v>11.76</v>
      </c>
    </row>
    <row r="1191" spans="18:24" ht="12.75">
      <c r="R1191" s="142">
        <v>117.7</v>
      </c>
      <c r="X1191" s="2">
        <v>11.77</v>
      </c>
    </row>
    <row r="1192" spans="18:24" ht="12.75">
      <c r="R1192" s="142">
        <v>117.8</v>
      </c>
      <c r="X1192" s="2">
        <v>11.78</v>
      </c>
    </row>
    <row r="1193" spans="18:24" ht="12.75">
      <c r="R1193" s="142">
        <v>117.9</v>
      </c>
      <c r="X1193" s="2">
        <v>11.79</v>
      </c>
    </row>
    <row r="1194" spans="18:24" ht="12.75">
      <c r="R1194" s="142">
        <v>118</v>
      </c>
      <c r="X1194" s="2">
        <v>11.8</v>
      </c>
    </row>
    <row r="1195" spans="18:24" ht="12.75">
      <c r="R1195" s="142">
        <v>118.1</v>
      </c>
      <c r="X1195" s="2">
        <v>11.81</v>
      </c>
    </row>
    <row r="1196" spans="18:24" ht="12.75">
      <c r="R1196" s="142">
        <v>118.2</v>
      </c>
      <c r="X1196" s="2">
        <v>11.82</v>
      </c>
    </row>
    <row r="1197" spans="18:24" ht="12.75">
      <c r="R1197" s="142">
        <v>118.3</v>
      </c>
      <c r="X1197" s="2">
        <v>11.83</v>
      </c>
    </row>
    <row r="1198" spans="18:24" ht="12.75">
      <c r="R1198" s="142">
        <v>118.4</v>
      </c>
      <c r="X1198" s="2">
        <v>11.84</v>
      </c>
    </row>
    <row r="1199" spans="18:24" ht="12.75">
      <c r="R1199" s="142">
        <v>118.5</v>
      </c>
      <c r="X1199" s="2">
        <v>11.85</v>
      </c>
    </row>
    <row r="1200" spans="18:24" ht="12.75">
      <c r="R1200" s="142">
        <v>118.6</v>
      </c>
      <c r="X1200" s="2">
        <v>11.86</v>
      </c>
    </row>
    <row r="1201" spans="18:24" ht="12.75">
      <c r="R1201" s="142">
        <v>118.7</v>
      </c>
      <c r="X1201" s="2">
        <v>11.87</v>
      </c>
    </row>
    <row r="1202" spans="18:24" ht="12.75">
      <c r="R1202" s="142">
        <v>118.8</v>
      </c>
      <c r="X1202" s="2">
        <v>11.88</v>
      </c>
    </row>
    <row r="1203" spans="18:24" ht="12.75">
      <c r="R1203" s="142">
        <v>118.9</v>
      </c>
      <c r="X1203" s="2">
        <v>11.89</v>
      </c>
    </row>
    <row r="1204" spans="18:24" ht="12.75">
      <c r="R1204" s="142">
        <v>119</v>
      </c>
      <c r="X1204" s="2">
        <v>11.9</v>
      </c>
    </row>
    <row r="1205" spans="18:24" ht="12.75">
      <c r="R1205" s="142">
        <v>119.1</v>
      </c>
      <c r="X1205" s="2">
        <v>11.91</v>
      </c>
    </row>
    <row r="1206" spans="18:24" ht="12.75">
      <c r="R1206" s="142">
        <v>119.2</v>
      </c>
      <c r="X1206" s="2">
        <v>11.92</v>
      </c>
    </row>
    <row r="1207" spans="18:24" ht="12.75">
      <c r="R1207" s="142">
        <v>119.3</v>
      </c>
      <c r="X1207" s="2">
        <v>11.93</v>
      </c>
    </row>
    <row r="1208" spans="18:24" ht="12.75">
      <c r="R1208" s="142">
        <v>119.4</v>
      </c>
      <c r="X1208" s="2">
        <v>11.94</v>
      </c>
    </row>
    <row r="1209" spans="18:24" ht="12.75">
      <c r="R1209" s="142">
        <v>119.5</v>
      </c>
      <c r="X1209" s="2">
        <v>11.95</v>
      </c>
    </row>
    <row r="1210" spans="18:24" ht="12.75">
      <c r="R1210" s="142">
        <v>119.6</v>
      </c>
      <c r="X1210" s="2">
        <v>11.96</v>
      </c>
    </row>
    <row r="1211" spans="18:24" ht="12.75">
      <c r="R1211" s="142">
        <v>119.7</v>
      </c>
      <c r="X1211" s="2">
        <v>11.97</v>
      </c>
    </row>
    <row r="1212" spans="18:24" ht="12.75">
      <c r="R1212" s="142">
        <v>119.8</v>
      </c>
      <c r="X1212" s="2">
        <v>11.98</v>
      </c>
    </row>
    <row r="1213" spans="18:24" ht="12.75">
      <c r="R1213" s="142">
        <v>119.9</v>
      </c>
      <c r="X1213" s="2">
        <v>11.99</v>
      </c>
    </row>
    <row r="1214" spans="18:24" ht="12.75">
      <c r="R1214" s="142">
        <v>120</v>
      </c>
      <c r="X1214" s="2">
        <v>12</v>
      </c>
    </row>
    <row r="1215" spans="18:24" ht="12.75">
      <c r="R1215" s="142">
        <v>120.1</v>
      </c>
      <c r="X1215" s="2">
        <v>12.01</v>
      </c>
    </row>
    <row r="1216" spans="18:24" ht="12.75">
      <c r="R1216" s="142">
        <v>120.2</v>
      </c>
      <c r="X1216" s="2">
        <v>12.02</v>
      </c>
    </row>
    <row r="1217" spans="18:24" ht="12.75">
      <c r="R1217" s="142">
        <v>120.3</v>
      </c>
      <c r="X1217" s="2">
        <v>12.03</v>
      </c>
    </row>
    <row r="1218" spans="18:24" ht="12.75">
      <c r="R1218" s="142">
        <v>120.4</v>
      </c>
      <c r="X1218" s="2">
        <v>12.04</v>
      </c>
    </row>
    <row r="1219" spans="18:24" ht="12.75">
      <c r="R1219" s="142">
        <v>120.5</v>
      </c>
      <c r="X1219" s="2">
        <v>12.05</v>
      </c>
    </row>
    <row r="1220" spans="18:24" ht="12.75">
      <c r="R1220" s="142">
        <v>120.6</v>
      </c>
      <c r="X1220" s="2">
        <v>12.06</v>
      </c>
    </row>
    <row r="1221" spans="18:24" ht="12.75">
      <c r="R1221" s="142">
        <v>120.7</v>
      </c>
      <c r="X1221" s="2">
        <v>12.07</v>
      </c>
    </row>
    <row r="1222" spans="18:24" ht="12.75">
      <c r="R1222" s="142">
        <v>120.8</v>
      </c>
      <c r="X1222" s="2">
        <v>12.08</v>
      </c>
    </row>
    <row r="1223" spans="18:24" ht="12.75">
      <c r="R1223" s="142">
        <v>120.9</v>
      </c>
      <c r="X1223" s="2">
        <v>12.09</v>
      </c>
    </row>
    <row r="1224" spans="18:24" ht="12.75">
      <c r="R1224" s="142">
        <v>121</v>
      </c>
      <c r="X1224" s="2">
        <v>12.1</v>
      </c>
    </row>
    <row r="1225" spans="18:24" ht="12.75">
      <c r="R1225" s="142">
        <v>121.1</v>
      </c>
      <c r="X1225" s="2">
        <v>12.11</v>
      </c>
    </row>
    <row r="1226" spans="18:24" ht="12.75">
      <c r="R1226" s="142">
        <v>121.2</v>
      </c>
      <c r="X1226" s="2">
        <v>12.12</v>
      </c>
    </row>
    <row r="1227" spans="18:24" ht="12.75">
      <c r="R1227" s="142">
        <v>121.3</v>
      </c>
      <c r="X1227" s="2">
        <v>12.13</v>
      </c>
    </row>
    <row r="1228" spans="18:24" ht="12.75">
      <c r="R1228" s="142">
        <v>121.4</v>
      </c>
      <c r="X1228" s="2">
        <v>12.14</v>
      </c>
    </row>
    <row r="1229" spans="18:24" ht="12.75">
      <c r="R1229" s="142">
        <v>121.5</v>
      </c>
      <c r="X1229" s="2">
        <v>12.15</v>
      </c>
    </row>
    <row r="1230" spans="18:24" ht="12.75">
      <c r="R1230" s="142">
        <v>121.6</v>
      </c>
      <c r="X1230" s="2">
        <v>12.16</v>
      </c>
    </row>
    <row r="1231" spans="18:24" ht="12.75">
      <c r="R1231" s="142">
        <v>121.7</v>
      </c>
      <c r="X1231" s="2">
        <v>12.17</v>
      </c>
    </row>
    <row r="1232" spans="18:24" ht="12.75">
      <c r="R1232" s="142">
        <v>121.8</v>
      </c>
      <c r="X1232" s="2">
        <v>12.18</v>
      </c>
    </row>
    <row r="1233" spans="18:24" ht="12.75">
      <c r="R1233" s="142">
        <v>121.9</v>
      </c>
      <c r="X1233" s="2">
        <v>12.19</v>
      </c>
    </row>
    <row r="1234" spans="18:24" ht="12.75">
      <c r="R1234" s="142">
        <v>122</v>
      </c>
      <c r="X1234" s="2">
        <v>12.2</v>
      </c>
    </row>
    <row r="1235" spans="18:24" ht="12.75">
      <c r="R1235" s="142">
        <v>122.1</v>
      </c>
      <c r="X1235" s="2">
        <v>12.21</v>
      </c>
    </row>
    <row r="1236" spans="18:24" ht="12.75">
      <c r="R1236" s="142">
        <v>122.2</v>
      </c>
      <c r="X1236" s="2">
        <v>12.22</v>
      </c>
    </row>
    <row r="1237" spans="18:24" ht="12.75">
      <c r="R1237" s="142">
        <v>122.3</v>
      </c>
      <c r="X1237" s="2">
        <v>12.23</v>
      </c>
    </row>
    <row r="1238" spans="18:24" ht="12.75">
      <c r="R1238" s="142">
        <v>122.4</v>
      </c>
      <c r="X1238" s="2">
        <v>12.24</v>
      </c>
    </row>
    <row r="1239" spans="18:24" ht="12.75">
      <c r="R1239" s="142">
        <v>122.5</v>
      </c>
      <c r="X1239" s="2">
        <v>12.25</v>
      </c>
    </row>
    <row r="1240" spans="18:24" ht="12.75">
      <c r="R1240" s="142">
        <v>122.6</v>
      </c>
      <c r="X1240" s="2">
        <v>12.26</v>
      </c>
    </row>
    <row r="1241" spans="18:24" ht="12.75">
      <c r="R1241" s="142">
        <v>122.7</v>
      </c>
      <c r="X1241" s="2">
        <v>12.27</v>
      </c>
    </row>
    <row r="1242" spans="18:24" ht="12.75">
      <c r="R1242" s="142">
        <v>122.8</v>
      </c>
      <c r="X1242" s="2">
        <v>12.28</v>
      </c>
    </row>
    <row r="1243" spans="18:24" ht="12.75">
      <c r="R1243" s="142">
        <v>122.9</v>
      </c>
      <c r="X1243" s="2">
        <v>12.29</v>
      </c>
    </row>
    <row r="1244" spans="18:24" ht="12.75">
      <c r="R1244" s="142">
        <v>123</v>
      </c>
      <c r="X1244" s="2">
        <v>12.3</v>
      </c>
    </row>
    <row r="1245" spans="18:24" ht="12.75">
      <c r="R1245" s="142">
        <v>123.1</v>
      </c>
      <c r="X1245" s="2">
        <v>12.31</v>
      </c>
    </row>
    <row r="1246" spans="18:24" ht="12.75">
      <c r="R1246" s="142">
        <v>123.2</v>
      </c>
      <c r="X1246" s="2">
        <v>12.32</v>
      </c>
    </row>
    <row r="1247" spans="18:24" ht="12.75">
      <c r="R1247" s="142">
        <v>123.3</v>
      </c>
      <c r="X1247" s="2">
        <v>12.33</v>
      </c>
    </row>
    <row r="1248" spans="18:24" ht="12.75">
      <c r="R1248" s="142">
        <v>123.4</v>
      </c>
      <c r="X1248" s="2">
        <v>12.34</v>
      </c>
    </row>
    <row r="1249" spans="18:24" ht="12.75">
      <c r="R1249" s="142">
        <v>123.5</v>
      </c>
      <c r="X1249" s="2">
        <v>12.35</v>
      </c>
    </row>
    <row r="1250" spans="18:24" ht="12.75">
      <c r="R1250" s="142">
        <v>123.6</v>
      </c>
      <c r="X1250" s="2">
        <v>12.36</v>
      </c>
    </row>
    <row r="1251" spans="18:24" ht="12.75">
      <c r="R1251" s="142">
        <v>123.7</v>
      </c>
      <c r="X1251" s="2">
        <v>12.37</v>
      </c>
    </row>
    <row r="1252" spans="18:24" ht="12.75">
      <c r="R1252" s="142">
        <v>123.8</v>
      </c>
      <c r="X1252" s="2">
        <v>12.38</v>
      </c>
    </row>
    <row r="1253" spans="18:24" ht="12.75">
      <c r="R1253" s="142">
        <v>123.9</v>
      </c>
      <c r="X1253" s="2">
        <v>12.39</v>
      </c>
    </row>
    <row r="1254" spans="18:24" ht="12.75">
      <c r="R1254" s="142">
        <v>124</v>
      </c>
      <c r="X1254" s="2">
        <v>12.4</v>
      </c>
    </row>
    <row r="1255" spans="18:24" ht="12.75">
      <c r="R1255" s="142">
        <v>124.1</v>
      </c>
      <c r="X1255" s="2">
        <v>12.41</v>
      </c>
    </row>
    <row r="1256" spans="18:24" ht="12.75">
      <c r="R1256" s="142">
        <v>124.2</v>
      </c>
      <c r="X1256" s="2">
        <v>12.42</v>
      </c>
    </row>
    <row r="1257" spans="18:24" ht="12.75">
      <c r="R1257" s="142">
        <v>124.3</v>
      </c>
      <c r="X1257" s="2">
        <v>12.43</v>
      </c>
    </row>
    <row r="1258" spans="18:24" ht="12.75">
      <c r="R1258" s="142">
        <v>124.4</v>
      </c>
      <c r="X1258" s="2">
        <v>12.44</v>
      </c>
    </row>
    <row r="1259" spans="18:24" ht="12.75">
      <c r="R1259" s="142">
        <v>124.5</v>
      </c>
      <c r="X1259" s="2">
        <v>12.45</v>
      </c>
    </row>
    <row r="1260" spans="18:24" ht="12.75">
      <c r="R1260" s="142">
        <v>124.6</v>
      </c>
      <c r="X1260" s="2">
        <v>12.46</v>
      </c>
    </row>
    <row r="1261" spans="18:24" ht="12.75">
      <c r="R1261" s="142">
        <v>124.7</v>
      </c>
      <c r="X1261" s="2">
        <v>12.47</v>
      </c>
    </row>
    <row r="1262" spans="18:24" ht="12.75">
      <c r="R1262" s="142">
        <v>124.8</v>
      </c>
      <c r="X1262" s="2">
        <v>12.48</v>
      </c>
    </row>
    <row r="1263" spans="18:24" ht="12.75">
      <c r="R1263" s="142">
        <v>124.9</v>
      </c>
      <c r="X1263" s="2">
        <v>12.49</v>
      </c>
    </row>
    <row r="1264" spans="18:24" ht="12.75">
      <c r="R1264" s="142">
        <v>125</v>
      </c>
      <c r="X1264" s="2">
        <v>12.5</v>
      </c>
    </row>
    <row r="1265" spans="18:24" ht="12.75">
      <c r="R1265" s="142">
        <v>125.1</v>
      </c>
      <c r="X1265" s="2">
        <v>12.51</v>
      </c>
    </row>
    <row r="1266" spans="18:24" ht="12.75">
      <c r="R1266" s="142">
        <v>125.2</v>
      </c>
      <c r="X1266" s="2">
        <v>12.52</v>
      </c>
    </row>
    <row r="1267" spans="18:24" ht="12.75">
      <c r="R1267" s="142">
        <v>125.3</v>
      </c>
      <c r="X1267" s="2">
        <v>12.53</v>
      </c>
    </row>
    <row r="1268" spans="18:24" ht="12.75">
      <c r="R1268" s="142">
        <v>125.4</v>
      </c>
      <c r="X1268" s="2">
        <v>12.54</v>
      </c>
    </row>
    <row r="1269" spans="18:24" ht="12.75">
      <c r="R1269" s="142">
        <v>125.5</v>
      </c>
      <c r="X1269" s="2">
        <v>12.55</v>
      </c>
    </row>
    <row r="1270" spans="18:24" ht="12.75">
      <c r="R1270" s="142">
        <v>125.6</v>
      </c>
      <c r="X1270" s="2">
        <v>12.56</v>
      </c>
    </row>
    <row r="1271" spans="18:24" ht="12.75">
      <c r="R1271" s="142">
        <v>125.7</v>
      </c>
      <c r="X1271" s="2">
        <v>12.57</v>
      </c>
    </row>
    <row r="1272" spans="18:24" ht="12.75">
      <c r="R1272" s="142">
        <v>125.8</v>
      </c>
      <c r="X1272" s="2">
        <v>12.58</v>
      </c>
    </row>
    <row r="1273" spans="18:24" ht="12.75">
      <c r="R1273" s="142">
        <v>125.9</v>
      </c>
      <c r="X1273" s="2">
        <v>12.59</v>
      </c>
    </row>
    <row r="1274" spans="18:24" ht="12.75">
      <c r="R1274" s="142">
        <v>126</v>
      </c>
      <c r="X1274" s="2">
        <v>12.6</v>
      </c>
    </row>
    <row r="1275" spans="18:24" ht="12.75">
      <c r="R1275" s="142">
        <v>126.1</v>
      </c>
      <c r="X1275" s="2">
        <v>12.61</v>
      </c>
    </row>
    <row r="1276" spans="18:24" ht="12.75">
      <c r="R1276" s="142">
        <v>126.2</v>
      </c>
      <c r="X1276" s="2">
        <v>12.62</v>
      </c>
    </row>
    <row r="1277" spans="18:24" ht="12.75">
      <c r="R1277" s="142">
        <v>126.3</v>
      </c>
      <c r="X1277" s="2">
        <v>12.63</v>
      </c>
    </row>
    <row r="1278" spans="18:24" ht="12.75">
      <c r="R1278" s="142">
        <v>126.4</v>
      </c>
      <c r="X1278" s="2">
        <v>12.64</v>
      </c>
    </row>
    <row r="1279" spans="18:24" ht="12.75">
      <c r="R1279" s="142">
        <v>126.5</v>
      </c>
      <c r="X1279" s="2">
        <v>12.65</v>
      </c>
    </row>
    <row r="1280" spans="18:24" ht="12.75">
      <c r="R1280" s="142">
        <v>126.6</v>
      </c>
      <c r="X1280" s="2">
        <v>12.66</v>
      </c>
    </row>
    <row r="1281" spans="18:24" ht="12.75">
      <c r="R1281" s="142">
        <v>126.7</v>
      </c>
      <c r="X1281" s="2">
        <v>12.67</v>
      </c>
    </row>
    <row r="1282" spans="18:24" ht="12.75">
      <c r="R1282" s="142">
        <v>126.8</v>
      </c>
      <c r="X1282" s="2">
        <v>12.68</v>
      </c>
    </row>
    <row r="1283" spans="18:24" ht="12.75">
      <c r="R1283" s="142">
        <v>126.9</v>
      </c>
      <c r="X1283" s="2">
        <v>12.69</v>
      </c>
    </row>
    <row r="1284" spans="18:24" ht="12.75">
      <c r="R1284" s="142">
        <v>127</v>
      </c>
      <c r="X1284" s="2">
        <v>12.7</v>
      </c>
    </row>
    <row r="1285" spans="18:24" ht="12.75">
      <c r="R1285" s="142">
        <v>127.1</v>
      </c>
      <c r="X1285" s="2">
        <v>12.71</v>
      </c>
    </row>
    <row r="1286" spans="18:24" ht="12.75">
      <c r="R1286" s="142">
        <v>127.2</v>
      </c>
      <c r="X1286" s="2">
        <v>12.72</v>
      </c>
    </row>
    <row r="1287" spans="18:24" ht="12.75">
      <c r="R1287" s="142">
        <v>127.3</v>
      </c>
      <c r="X1287" s="2">
        <v>12.73</v>
      </c>
    </row>
    <row r="1288" spans="18:24" ht="12.75">
      <c r="R1288" s="142">
        <v>127.4</v>
      </c>
      <c r="X1288" s="2">
        <v>12.74</v>
      </c>
    </row>
    <row r="1289" spans="18:24" ht="12.75">
      <c r="R1289" s="142">
        <v>127.5</v>
      </c>
      <c r="X1289" s="2">
        <v>12.75</v>
      </c>
    </row>
    <row r="1290" spans="18:24" ht="12.75">
      <c r="R1290" s="142">
        <v>127.6</v>
      </c>
      <c r="X1290" s="2">
        <v>12.76</v>
      </c>
    </row>
    <row r="1291" spans="18:24" ht="12.75">
      <c r="R1291" s="142">
        <v>127.7</v>
      </c>
      <c r="X1291" s="2">
        <v>12.77</v>
      </c>
    </row>
    <row r="1292" spans="18:24" ht="12.75">
      <c r="R1292" s="142">
        <v>127.8</v>
      </c>
      <c r="X1292" s="2">
        <v>12.78</v>
      </c>
    </row>
    <row r="1293" spans="18:24" ht="12.75">
      <c r="R1293" s="142">
        <v>127.9</v>
      </c>
      <c r="X1293" s="2">
        <v>12.79</v>
      </c>
    </row>
    <row r="1294" spans="18:24" ht="12.75">
      <c r="R1294" s="142">
        <v>128</v>
      </c>
      <c r="X1294" s="2">
        <v>12.8</v>
      </c>
    </row>
    <row r="1295" spans="18:24" ht="12.75">
      <c r="R1295" s="142">
        <v>128.1</v>
      </c>
      <c r="X1295" s="2">
        <v>12.81</v>
      </c>
    </row>
    <row r="1296" spans="18:24" ht="12.75">
      <c r="R1296" s="142">
        <v>128.2</v>
      </c>
      <c r="X1296" s="2">
        <v>12.82</v>
      </c>
    </row>
    <row r="1297" spans="18:24" ht="12.75">
      <c r="R1297" s="142">
        <v>128.3</v>
      </c>
      <c r="X1297" s="2">
        <v>12.83</v>
      </c>
    </row>
    <row r="1298" spans="18:24" ht="12.75">
      <c r="R1298" s="142">
        <v>128.4</v>
      </c>
      <c r="X1298" s="2">
        <v>12.84</v>
      </c>
    </row>
    <row r="1299" spans="18:24" ht="12.75">
      <c r="R1299" s="142">
        <v>128.5</v>
      </c>
      <c r="X1299" s="2">
        <v>12.85</v>
      </c>
    </row>
    <row r="1300" spans="18:24" ht="12.75">
      <c r="R1300" s="142">
        <v>128.6</v>
      </c>
      <c r="X1300" s="2">
        <v>12.86</v>
      </c>
    </row>
    <row r="1301" spans="18:24" ht="12.75">
      <c r="R1301" s="142">
        <v>128.7</v>
      </c>
      <c r="X1301" s="2">
        <v>12.87</v>
      </c>
    </row>
    <row r="1302" spans="18:24" ht="12.75">
      <c r="R1302" s="142">
        <v>128.8</v>
      </c>
      <c r="X1302" s="2">
        <v>12.88</v>
      </c>
    </row>
    <row r="1303" spans="18:24" ht="12.75">
      <c r="R1303" s="142">
        <v>128.9</v>
      </c>
      <c r="X1303" s="2">
        <v>12.89</v>
      </c>
    </row>
    <row r="1304" spans="18:24" ht="12.75">
      <c r="R1304" s="142">
        <v>129</v>
      </c>
      <c r="X1304" s="2">
        <v>12.9</v>
      </c>
    </row>
    <row r="1305" spans="18:24" ht="12.75">
      <c r="R1305" s="142">
        <v>129.1</v>
      </c>
      <c r="X1305" s="2">
        <v>12.91</v>
      </c>
    </row>
    <row r="1306" spans="18:24" ht="12.75">
      <c r="R1306" s="142">
        <v>129.2</v>
      </c>
      <c r="X1306" s="2">
        <v>12.92</v>
      </c>
    </row>
    <row r="1307" spans="18:24" ht="12.75">
      <c r="R1307" s="142">
        <v>129.3</v>
      </c>
      <c r="X1307" s="2">
        <v>12.93</v>
      </c>
    </row>
    <row r="1308" spans="18:24" ht="12.75">
      <c r="R1308" s="142">
        <v>129.4</v>
      </c>
      <c r="X1308" s="2">
        <v>12.94</v>
      </c>
    </row>
    <row r="1309" spans="18:24" ht="12.75">
      <c r="R1309" s="142">
        <v>129.5</v>
      </c>
      <c r="X1309" s="2">
        <v>12.95</v>
      </c>
    </row>
    <row r="1310" spans="18:24" ht="12.75">
      <c r="R1310" s="142">
        <v>129.6</v>
      </c>
      <c r="X1310" s="2">
        <v>12.96</v>
      </c>
    </row>
    <row r="1311" spans="18:24" ht="12.75">
      <c r="R1311" s="142">
        <v>129.7</v>
      </c>
      <c r="X1311" s="2">
        <v>12.97</v>
      </c>
    </row>
    <row r="1312" spans="18:24" ht="12.75">
      <c r="R1312" s="142">
        <v>129.8</v>
      </c>
      <c r="X1312" s="2">
        <v>12.98</v>
      </c>
    </row>
    <row r="1313" spans="18:24" ht="12.75">
      <c r="R1313" s="142">
        <v>129.9</v>
      </c>
      <c r="X1313" s="2">
        <v>12.99</v>
      </c>
    </row>
    <row r="1314" spans="18:24" ht="12.75">
      <c r="R1314" s="142">
        <v>130</v>
      </c>
      <c r="X1314" s="2">
        <v>13</v>
      </c>
    </row>
    <row r="1315" spans="18:24" ht="12.75">
      <c r="R1315" s="142">
        <v>130.1</v>
      </c>
      <c r="X1315" s="2">
        <v>13.01</v>
      </c>
    </row>
    <row r="1316" spans="18:24" ht="12.75">
      <c r="R1316" s="142">
        <v>130.2</v>
      </c>
      <c r="X1316" s="2">
        <v>13.02</v>
      </c>
    </row>
    <row r="1317" spans="18:24" ht="12.75">
      <c r="R1317" s="142">
        <v>130.3</v>
      </c>
      <c r="X1317" s="2">
        <v>13.03</v>
      </c>
    </row>
    <row r="1318" spans="18:24" ht="12.75">
      <c r="R1318" s="142">
        <v>130.4</v>
      </c>
      <c r="X1318" s="2">
        <v>13.04</v>
      </c>
    </row>
    <row r="1319" spans="18:24" ht="12.75">
      <c r="R1319" s="142">
        <v>130.5</v>
      </c>
      <c r="X1319" s="2">
        <v>13.05</v>
      </c>
    </row>
    <row r="1320" spans="18:24" ht="12.75">
      <c r="R1320" s="142">
        <v>130.6</v>
      </c>
      <c r="X1320" s="2">
        <v>13.06</v>
      </c>
    </row>
    <row r="1321" spans="18:24" ht="12.75">
      <c r="R1321" s="142">
        <v>130.7</v>
      </c>
      <c r="X1321" s="2">
        <v>13.07</v>
      </c>
    </row>
    <row r="1322" spans="18:24" ht="12.75">
      <c r="R1322" s="142">
        <v>130.8</v>
      </c>
      <c r="X1322" s="2">
        <v>13.08</v>
      </c>
    </row>
    <row r="1323" spans="18:24" ht="12.75">
      <c r="R1323" s="142">
        <v>130.9</v>
      </c>
      <c r="X1323" s="2">
        <v>13.09</v>
      </c>
    </row>
    <row r="1324" spans="18:24" ht="12.75">
      <c r="R1324" s="142">
        <v>131</v>
      </c>
      <c r="X1324" s="2">
        <v>13.1</v>
      </c>
    </row>
    <row r="1325" spans="18:24" ht="12.75">
      <c r="R1325" s="142">
        <v>131.1</v>
      </c>
      <c r="X1325" s="2">
        <v>13.11</v>
      </c>
    </row>
    <row r="1326" spans="18:24" ht="12.75">
      <c r="R1326" s="142">
        <v>131.2</v>
      </c>
      <c r="X1326" s="2">
        <v>13.12</v>
      </c>
    </row>
    <row r="1327" spans="18:24" ht="12.75">
      <c r="R1327" s="142">
        <v>131.3</v>
      </c>
      <c r="X1327" s="2">
        <v>13.13</v>
      </c>
    </row>
    <row r="1328" spans="18:24" ht="12.75">
      <c r="R1328" s="142">
        <v>131.4</v>
      </c>
      <c r="X1328" s="2">
        <v>13.14</v>
      </c>
    </row>
    <row r="1329" spans="18:24" ht="12.75">
      <c r="R1329" s="142">
        <v>131.5</v>
      </c>
      <c r="X1329" s="2">
        <v>13.15</v>
      </c>
    </row>
    <row r="1330" spans="18:24" ht="12.75">
      <c r="R1330" s="142">
        <v>131.6</v>
      </c>
      <c r="X1330" s="2">
        <v>13.16</v>
      </c>
    </row>
    <row r="1331" spans="18:24" ht="12.75">
      <c r="R1331" s="142">
        <v>131.7</v>
      </c>
      <c r="X1331" s="2">
        <v>13.17</v>
      </c>
    </row>
    <row r="1332" spans="18:24" ht="12.75">
      <c r="R1332" s="142">
        <v>131.8</v>
      </c>
      <c r="X1332" s="2">
        <v>13.18</v>
      </c>
    </row>
    <row r="1333" spans="18:24" ht="12.75">
      <c r="R1333" s="142">
        <v>131.9</v>
      </c>
      <c r="X1333" s="2">
        <v>13.19</v>
      </c>
    </row>
    <row r="1334" spans="18:24" ht="12.75">
      <c r="R1334" s="142">
        <v>132</v>
      </c>
      <c r="X1334" s="2">
        <v>13.2</v>
      </c>
    </row>
    <row r="1335" spans="18:24" ht="12.75">
      <c r="R1335" s="142">
        <v>132.1</v>
      </c>
      <c r="X1335" s="2">
        <v>13.21</v>
      </c>
    </row>
    <row r="1336" spans="18:24" ht="12.75">
      <c r="R1336" s="142">
        <v>132.2</v>
      </c>
      <c r="X1336" s="2">
        <v>13.22</v>
      </c>
    </row>
    <row r="1337" spans="18:24" ht="12.75">
      <c r="R1337" s="142">
        <v>132.3</v>
      </c>
      <c r="X1337" s="2">
        <v>13.23</v>
      </c>
    </row>
    <row r="1338" spans="18:24" ht="12.75">
      <c r="R1338" s="142">
        <v>132.4</v>
      </c>
      <c r="X1338" s="2">
        <v>13.24</v>
      </c>
    </row>
    <row r="1339" spans="18:24" ht="12.75">
      <c r="R1339" s="142">
        <v>132.5</v>
      </c>
      <c r="X1339" s="2">
        <v>13.25</v>
      </c>
    </row>
    <row r="1340" spans="18:24" ht="12.75">
      <c r="R1340" s="142">
        <v>132.6</v>
      </c>
      <c r="X1340" s="2">
        <v>13.26</v>
      </c>
    </row>
    <row r="1341" spans="18:24" ht="12.75">
      <c r="R1341" s="142">
        <v>132.7</v>
      </c>
      <c r="X1341" s="2">
        <v>13.27</v>
      </c>
    </row>
    <row r="1342" spans="18:24" ht="12.75">
      <c r="R1342" s="142">
        <v>132.8</v>
      </c>
      <c r="X1342" s="2">
        <v>13.28</v>
      </c>
    </row>
    <row r="1343" spans="18:24" ht="12.75">
      <c r="R1343" s="142">
        <v>132.9</v>
      </c>
      <c r="X1343" s="2">
        <v>13.29</v>
      </c>
    </row>
    <row r="1344" spans="18:24" ht="12.75">
      <c r="R1344" s="142">
        <v>133</v>
      </c>
      <c r="X1344" s="2">
        <v>13.3</v>
      </c>
    </row>
    <row r="1345" spans="18:24" ht="12.75">
      <c r="R1345" s="142">
        <v>133.1</v>
      </c>
      <c r="X1345" s="2">
        <v>13.31</v>
      </c>
    </row>
    <row r="1346" spans="18:24" ht="12.75">
      <c r="R1346" s="142">
        <v>133.2</v>
      </c>
      <c r="X1346" s="2">
        <v>13.32</v>
      </c>
    </row>
    <row r="1347" spans="18:24" ht="12.75">
      <c r="R1347" s="142">
        <v>133.3</v>
      </c>
      <c r="X1347" s="2">
        <v>13.33</v>
      </c>
    </row>
    <row r="1348" spans="18:24" ht="12.75">
      <c r="R1348" s="142">
        <v>133.4</v>
      </c>
      <c r="X1348" s="2">
        <v>13.34</v>
      </c>
    </row>
    <row r="1349" spans="18:24" ht="12.75">
      <c r="R1349" s="142">
        <v>133.5</v>
      </c>
      <c r="X1349" s="2">
        <v>13.35</v>
      </c>
    </row>
    <row r="1350" spans="18:24" ht="12.75">
      <c r="R1350" s="142">
        <v>133.6</v>
      </c>
      <c r="X1350" s="2">
        <v>13.36</v>
      </c>
    </row>
    <row r="1351" spans="18:24" ht="12.75">
      <c r="R1351" s="142">
        <v>133.7</v>
      </c>
      <c r="X1351" s="2">
        <v>13.37</v>
      </c>
    </row>
    <row r="1352" spans="18:24" ht="12.75">
      <c r="R1352" s="142">
        <v>133.8</v>
      </c>
      <c r="X1352" s="2">
        <v>13.38</v>
      </c>
    </row>
    <row r="1353" spans="18:24" ht="12.75">
      <c r="R1353" s="142">
        <v>133.9</v>
      </c>
      <c r="X1353" s="2">
        <v>13.39</v>
      </c>
    </row>
    <row r="1354" spans="18:24" ht="12.75">
      <c r="R1354" s="142">
        <v>134</v>
      </c>
      <c r="X1354" s="2">
        <v>13.4</v>
      </c>
    </row>
    <row r="1355" spans="18:24" ht="12.75">
      <c r="R1355" s="142">
        <v>134.1</v>
      </c>
      <c r="X1355" s="2">
        <v>13.41</v>
      </c>
    </row>
    <row r="1356" spans="18:24" ht="12.75">
      <c r="R1356" s="142">
        <v>134.2</v>
      </c>
      <c r="X1356" s="2">
        <v>13.42</v>
      </c>
    </row>
    <row r="1357" spans="18:24" ht="12.75">
      <c r="R1357" s="142">
        <v>134.3</v>
      </c>
      <c r="X1357" s="2">
        <v>13.43</v>
      </c>
    </row>
    <row r="1358" spans="18:24" ht="12.75">
      <c r="R1358" s="142">
        <v>134.4</v>
      </c>
      <c r="X1358" s="2">
        <v>13.44</v>
      </c>
    </row>
    <row r="1359" spans="18:24" ht="12.75">
      <c r="R1359" s="142">
        <v>134.5</v>
      </c>
      <c r="X1359" s="2">
        <v>13.45</v>
      </c>
    </row>
    <row r="1360" spans="18:24" ht="12.75">
      <c r="R1360" s="142">
        <v>134.6</v>
      </c>
      <c r="X1360" s="2">
        <v>13.46</v>
      </c>
    </row>
    <row r="1361" spans="18:24" ht="12.75">
      <c r="R1361" s="142">
        <v>134.7</v>
      </c>
      <c r="X1361" s="2">
        <v>13.47</v>
      </c>
    </row>
    <row r="1362" spans="18:24" ht="12.75">
      <c r="R1362" s="142">
        <v>134.8</v>
      </c>
      <c r="X1362" s="2">
        <v>13.48</v>
      </c>
    </row>
    <row r="1363" spans="18:24" ht="12.75">
      <c r="R1363" s="142">
        <v>134.9</v>
      </c>
      <c r="X1363" s="2">
        <v>13.49</v>
      </c>
    </row>
    <row r="1364" spans="18:24" ht="12.75">
      <c r="R1364" s="142">
        <v>135</v>
      </c>
      <c r="X1364" s="2">
        <v>13.5</v>
      </c>
    </row>
    <row r="1365" spans="18:24" ht="12.75">
      <c r="R1365" s="142">
        <v>135.1</v>
      </c>
      <c r="X1365" s="2">
        <v>13.51</v>
      </c>
    </row>
    <row r="1366" spans="18:24" ht="12.75">
      <c r="R1366" s="142">
        <v>135.2</v>
      </c>
      <c r="X1366" s="2">
        <v>13.52</v>
      </c>
    </row>
    <row r="1367" spans="18:24" ht="12.75">
      <c r="R1367" s="142">
        <v>135.3</v>
      </c>
      <c r="X1367" s="2">
        <v>13.53</v>
      </c>
    </row>
    <row r="1368" spans="18:24" ht="12.75">
      <c r="R1368" s="142">
        <v>135.4</v>
      </c>
      <c r="X1368" s="2">
        <v>13.54</v>
      </c>
    </row>
    <row r="1369" spans="18:24" ht="12.75">
      <c r="R1369" s="142">
        <v>135.5</v>
      </c>
      <c r="X1369" s="2">
        <v>13.55</v>
      </c>
    </row>
    <row r="1370" spans="18:24" ht="12.75">
      <c r="R1370" s="142">
        <v>135.6</v>
      </c>
      <c r="X1370" s="2">
        <v>13.56</v>
      </c>
    </row>
    <row r="1371" spans="18:24" ht="12.75">
      <c r="R1371" s="142">
        <v>135.7</v>
      </c>
      <c r="X1371" s="2">
        <v>13.57</v>
      </c>
    </row>
    <row r="1372" spans="18:24" ht="12.75">
      <c r="R1372" s="142">
        <v>135.8</v>
      </c>
      <c r="X1372" s="2">
        <v>13.58</v>
      </c>
    </row>
    <row r="1373" spans="18:24" ht="12.75">
      <c r="R1373" s="142">
        <v>135.9</v>
      </c>
      <c r="X1373" s="2">
        <v>13.59</v>
      </c>
    </row>
    <row r="1374" spans="18:24" ht="12.75">
      <c r="R1374" s="142">
        <v>136</v>
      </c>
      <c r="X1374" s="2">
        <v>13.6</v>
      </c>
    </row>
    <row r="1375" spans="18:24" ht="12.75">
      <c r="R1375" s="142">
        <v>136.1</v>
      </c>
      <c r="X1375" s="2">
        <v>13.61</v>
      </c>
    </row>
    <row r="1376" spans="18:24" ht="12.75">
      <c r="R1376" s="142">
        <v>136.2</v>
      </c>
      <c r="X1376" s="2">
        <v>13.62</v>
      </c>
    </row>
    <row r="1377" spans="18:24" ht="12.75">
      <c r="R1377" s="142">
        <v>136.3</v>
      </c>
      <c r="X1377" s="2">
        <v>13.63</v>
      </c>
    </row>
    <row r="1378" spans="18:24" ht="12.75">
      <c r="R1378" s="142">
        <v>136.4</v>
      </c>
      <c r="X1378" s="2">
        <v>13.64</v>
      </c>
    </row>
    <row r="1379" spans="18:24" ht="12.75">
      <c r="R1379" s="142">
        <v>136.5</v>
      </c>
      <c r="X1379" s="2">
        <v>13.65</v>
      </c>
    </row>
    <row r="1380" spans="18:24" ht="12.75">
      <c r="R1380" s="142">
        <v>136.6</v>
      </c>
      <c r="X1380" s="2">
        <v>13.66</v>
      </c>
    </row>
    <row r="1381" spans="18:24" ht="12.75">
      <c r="R1381" s="142">
        <v>136.7</v>
      </c>
      <c r="X1381" s="2">
        <v>13.67</v>
      </c>
    </row>
    <row r="1382" spans="18:24" ht="12.75">
      <c r="R1382" s="142">
        <v>136.8</v>
      </c>
      <c r="X1382" s="2">
        <v>13.68</v>
      </c>
    </row>
    <row r="1383" spans="18:24" ht="12.75">
      <c r="R1383" s="142">
        <v>136.9</v>
      </c>
      <c r="X1383" s="2">
        <v>13.69</v>
      </c>
    </row>
    <row r="1384" spans="18:24" ht="12.75">
      <c r="R1384" s="142">
        <v>137</v>
      </c>
      <c r="X1384" s="2">
        <v>13.7</v>
      </c>
    </row>
    <row r="1385" spans="18:24" ht="12.75">
      <c r="R1385" s="142">
        <v>137.1</v>
      </c>
      <c r="X1385" s="2">
        <v>13.71</v>
      </c>
    </row>
    <row r="1386" spans="18:24" ht="12.75">
      <c r="R1386" s="142">
        <v>137.2</v>
      </c>
      <c r="X1386" s="2">
        <v>13.72</v>
      </c>
    </row>
    <row r="1387" spans="18:24" ht="12.75">
      <c r="R1387" s="142">
        <v>137.3</v>
      </c>
      <c r="X1387" s="2">
        <v>13.73</v>
      </c>
    </row>
    <row r="1388" spans="18:24" ht="12.75">
      <c r="R1388" s="142">
        <v>137.4</v>
      </c>
      <c r="X1388" s="2">
        <v>13.74</v>
      </c>
    </row>
    <row r="1389" spans="18:24" ht="12.75">
      <c r="R1389" s="142">
        <v>137.5</v>
      </c>
      <c r="X1389" s="2">
        <v>13.75</v>
      </c>
    </row>
    <row r="1390" spans="18:24" ht="12.75">
      <c r="R1390" s="142">
        <v>137.6</v>
      </c>
      <c r="X1390" s="2">
        <v>13.76</v>
      </c>
    </row>
    <row r="1391" spans="18:24" ht="12.75">
      <c r="R1391" s="142">
        <v>137.7</v>
      </c>
      <c r="X1391" s="2">
        <v>13.77</v>
      </c>
    </row>
    <row r="1392" spans="18:24" ht="12.75">
      <c r="R1392" s="142">
        <v>137.8</v>
      </c>
      <c r="X1392" s="2">
        <v>13.78</v>
      </c>
    </row>
    <row r="1393" spans="18:24" ht="12.75">
      <c r="R1393" s="142">
        <v>137.9</v>
      </c>
      <c r="X1393" s="2">
        <v>13.79</v>
      </c>
    </row>
    <row r="1394" spans="18:24" ht="12.75">
      <c r="R1394" s="142">
        <v>138</v>
      </c>
      <c r="X1394" s="2">
        <v>13.8</v>
      </c>
    </row>
    <row r="1395" spans="18:24" ht="12.75">
      <c r="R1395" s="142">
        <v>138.1</v>
      </c>
      <c r="X1395" s="2">
        <v>13.81</v>
      </c>
    </row>
    <row r="1396" spans="18:24" ht="12.75">
      <c r="R1396" s="142">
        <v>138.2</v>
      </c>
      <c r="X1396" s="2">
        <v>13.82</v>
      </c>
    </row>
    <row r="1397" spans="18:24" ht="12.75">
      <c r="R1397" s="142">
        <v>138.3</v>
      </c>
      <c r="X1397" s="2">
        <v>13.83</v>
      </c>
    </row>
    <row r="1398" spans="18:24" ht="12.75">
      <c r="R1398" s="142">
        <v>138.4</v>
      </c>
      <c r="X1398" s="2">
        <v>13.84</v>
      </c>
    </row>
    <row r="1399" spans="18:24" ht="12.75">
      <c r="R1399" s="142">
        <v>138.5</v>
      </c>
      <c r="X1399" s="2">
        <v>13.85</v>
      </c>
    </row>
    <row r="1400" spans="18:24" ht="12.75">
      <c r="R1400" s="142">
        <v>138.6</v>
      </c>
      <c r="X1400" s="2">
        <v>13.86</v>
      </c>
    </row>
    <row r="1401" spans="18:24" ht="12.75">
      <c r="R1401" s="142">
        <v>138.7</v>
      </c>
      <c r="X1401" s="2">
        <v>13.87</v>
      </c>
    </row>
    <row r="1402" spans="18:24" ht="12.75">
      <c r="R1402" s="142">
        <v>138.8</v>
      </c>
      <c r="X1402" s="2">
        <v>13.88</v>
      </c>
    </row>
    <row r="1403" spans="18:24" ht="12.75">
      <c r="R1403" s="142">
        <v>138.9</v>
      </c>
      <c r="X1403" s="2">
        <v>13.89</v>
      </c>
    </row>
    <row r="1404" spans="18:24" ht="12.75">
      <c r="R1404" s="142">
        <v>139</v>
      </c>
      <c r="X1404" s="2">
        <v>13.9</v>
      </c>
    </row>
    <row r="1405" spans="18:24" ht="12.75">
      <c r="R1405" s="142">
        <v>139.1</v>
      </c>
      <c r="X1405" s="2">
        <v>13.91</v>
      </c>
    </row>
    <row r="1406" spans="18:24" ht="12.75">
      <c r="R1406" s="142">
        <v>139.2</v>
      </c>
      <c r="X1406" s="2">
        <v>13.92</v>
      </c>
    </row>
    <row r="1407" spans="18:24" ht="12.75">
      <c r="R1407" s="142">
        <v>139.3</v>
      </c>
      <c r="X1407" s="2">
        <v>13.93</v>
      </c>
    </row>
    <row r="1408" spans="18:24" ht="12.75">
      <c r="R1408" s="142">
        <v>139.4</v>
      </c>
      <c r="X1408" s="2">
        <v>13.94</v>
      </c>
    </row>
    <row r="1409" spans="18:24" ht="12.75">
      <c r="R1409" s="142">
        <v>139.5</v>
      </c>
      <c r="X1409" s="2">
        <v>13.95</v>
      </c>
    </row>
    <row r="1410" spans="18:24" ht="12.75">
      <c r="R1410" s="142">
        <v>139.6</v>
      </c>
      <c r="X1410" s="2">
        <v>13.96</v>
      </c>
    </row>
    <row r="1411" spans="18:24" ht="12.75">
      <c r="R1411" s="142">
        <v>139.7</v>
      </c>
      <c r="X1411" s="2">
        <v>13.97</v>
      </c>
    </row>
    <row r="1412" spans="18:24" ht="12.75">
      <c r="R1412" s="142">
        <v>139.8</v>
      </c>
      <c r="X1412" s="2">
        <v>13.98</v>
      </c>
    </row>
    <row r="1413" spans="18:24" ht="12.75">
      <c r="R1413" s="142">
        <v>139.9</v>
      </c>
      <c r="X1413" s="2">
        <v>13.99</v>
      </c>
    </row>
    <row r="1414" spans="18:24" ht="12.75">
      <c r="R1414" s="142">
        <v>140</v>
      </c>
      <c r="X1414" s="2">
        <v>14</v>
      </c>
    </row>
    <row r="1415" spans="18:24" ht="12.75">
      <c r="R1415" s="142">
        <v>140.1</v>
      </c>
      <c r="X1415" s="2">
        <v>14.01</v>
      </c>
    </row>
    <row r="1416" spans="18:24" ht="12.75">
      <c r="R1416" s="142">
        <v>140.2</v>
      </c>
      <c r="X1416" s="2">
        <v>14.02</v>
      </c>
    </row>
    <row r="1417" spans="18:24" ht="12.75">
      <c r="R1417" s="142">
        <v>140.3</v>
      </c>
      <c r="X1417" s="2">
        <v>14.03</v>
      </c>
    </row>
    <row r="1418" spans="18:24" ht="12.75">
      <c r="R1418" s="142">
        <v>140.4</v>
      </c>
      <c r="X1418" s="2">
        <v>14.04</v>
      </c>
    </row>
    <row r="1419" spans="18:24" ht="12.75">
      <c r="R1419" s="142">
        <v>140.5</v>
      </c>
      <c r="X1419" s="2">
        <v>14.05</v>
      </c>
    </row>
    <row r="1420" spans="18:24" ht="12.75">
      <c r="R1420" s="142">
        <v>140.6</v>
      </c>
      <c r="X1420" s="2">
        <v>14.06</v>
      </c>
    </row>
    <row r="1421" spans="18:24" ht="12.75">
      <c r="R1421" s="142">
        <v>140.7</v>
      </c>
      <c r="X1421" s="2">
        <v>14.07</v>
      </c>
    </row>
    <row r="1422" spans="18:24" ht="12.75">
      <c r="R1422" s="142">
        <v>140.8</v>
      </c>
      <c r="X1422" s="2">
        <v>14.08</v>
      </c>
    </row>
    <row r="1423" spans="18:24" ht="12.75">
      <c r="R1423" s="142">
        <v>140.9</v>
      </c>
      <c r="X1423" s="2">
        <v>14.09</v>
      </c>
    </row>
    <row r="1424" spans="18:24" ht="12.75">
      <c r="R1424" s="142">
        <v>141</v>
      </c>
      <c r="X1424" s="2">
        <v>14.1</v>
      </c>
    </row>
    <row r="1425" spans="18:24" ht="12.75">
      <c r="R1425" s="142">
        <v>141.1</v>
      </c>
      <c r="X1425" s="2">
        <v>14.11</v>
      </c>
    </row>
    <row r="1426" spans="18:24" ht="12.75">
      <c r="R1426" s="142">
        <v>141.2</v>
      </c>
      <c r="X1426" s="2">
        <v>14.12</v>
      </c>
    </row>
    <row r="1427" spans="18:24" ht="12.75">
      <c r="R1427" s="142">
        <v>141.3</v>
      </c>
      <c r="X1427" s="2">
        <v>14.13</v>
      </c>
    </row>
    <row r="1428" spans="18:24" ht="12.75">
      <c r="R1428" s="142">
        <v>141.4</v>
      </c>
      <c r="X1428" s="2">
        <v>14.14</v>
      </c>
    </row>
    <row r="1429" spans="18:24" ht="12.75">
      <c r="R1429" s="142">
        <v>141.5</v>
      </c>
      <c r="X1429" s="2">
        <v>14.15</v>
      </c>
    </row>
    <row r="1430" spans="18:24" ht="12.75">
      <c r="R1430" s="142">
        <v>141.6</v>
      </c>
      <c r="X1430" s="2">
        <v>14.16</v>
      </c>
    </row>
    <row r="1431" spans="18:24" ht="12.75">
      <c r="R1431" s="142">
        <v>141.7</v>
      </c>
      <c r="X1431" s="2">
        <v>14.17</v>
      </c>
    </row>
    <row r="1432" spans="18:24" ht="12.75">
      <c r="R1432" s="142">
        <v>141.8</v>
      </c>
      <c r="X1432" s="2">
        <v>14.18</v>
      </c>
    </row>
    <row r="1433" spans="18:24" ht="12.75">
      <c r="R1433" s="142">
        <v>141.9</v>
      </c>
      <c r="X1433" s="2">
        <v>14.19</v>
      </c>
    </row>
    <row r="1434" spans="18:24" ht="12.75">
      <c r="R1434" s="142">
        <v>142</v>
      </c>
      <c r="X1434" s="2">
        <v>14.2</v>
      </c>
    </row>
    <row r="1435" spans="18:24" ht="12.75">
      <c r="R1435" s="142">
        <v>142.1</v>
      </c>
      <c r="X1435" s="2">
        <v>14.21</v>
      </c>
    </row>
    <row r="1436" spans="18:24" ht="12.75">
      <c r="R1436" s="142">
        <v>142.2</v>
      </c>
      <c r="X1436" s="2">
        <v>14.22</v>
      </c>
    </row>
    <row r="1437" spans="18:24" ht="12.75">
      <c r="R1437" s="142">
        <v>142.3</v>
      </c>
      <c r="X1437" s="2">
        <v>14.23</v>
      </c>
    </row>
    <row r="1438" spans="18:24" ht="12.75">
      <c r="R1438" s="142">
        <v>142.4</v>
      </c>
      <c r="X1438" s="2">
        <v>14.24</v>
      </c>
    </row>
    <row r="1439" spans="18:24" ht="12.75">
      <c r="R1439" s="142">
        <v>142.5</v>
      </c>
      <c r="X1439" s="2">
        <v>14.25</v>
      </c>
    </row>
    <row r="1440" spans="18:24" ht="12.75">
      <c r="R1440" s="142">
        <v>142.6</v>
      </c>
      <c r="X1440" s="2">
        <v>14.26</v>
      </c>
    </row>
    <row r="1441" spans="18:24" ht="12.75">
      <c r="R1441" s="142">
        <v>142.7</v>
      </c>
      <c r="X1441" s="2">
        <v>14.27</v>
      </c>
    </row>
    <row r="1442" spans="18:24" ht="12.75">
      <c r="R1442" s="142">
        <v>142.8</v>
      </c>
      <c r="X1442" s="2">
        <v>14.28</v>
      </c>
    </row>
    <row r="1443" spans="18:24" ht="12.75">
      <c r="R1443" s="142">
        <v>142.9</v>
      </c>
      <c r="X1443" s="2">
        <v>14.29</v>
      </c>
    </row>
    <row r="1444" spans="18:24" ht="12.75">
      <c r="R1444" s="142">
        <v>143</v>
      </c>
      <c r="X1444" s="2">
        <v>14.3</v>
      </c>
    </row>
    <row r="1445" spans="18:24" ht="12.75">
      <c r="R1445" s="142">
        <v>143.1</v>
      </c>
      <c r="X1445" s="2">
        <v>14.31</v>
      </c>
    </row>
    <row r="1446" spans="18:24" ht="12.75">
      <c r="R1446" s="142">
        <v>143.2</v>
      </c>
      <c r="X1446" s="2">
        <v>14.32</v>
      </c>
    </row>
    <row r="1447" spans="18:24" ht="12.75">
      <c r="R1447" s="142">
        <v>143.3</v>
      </c>
      <c r="X1447" s="2">
        <v>14.33</v>
      </c>
    </row>
    <row r="1448" spans="18:24" ht="12.75">
      <c r="R1448" s="142">
        <v>143.4</v>
      </c>
      <c r="X1448" s="2">
        <v>14.34</v>
      </c>
    </row>
    <row r="1449" spans="18:24" ht="12.75">
      <c r="R1449" s="142">
        <v>143.5</v>
      </c>
      <c r="X1449" s="2">
        <v>14.35</v>
      </c>
    </row>
    <row r="1450" spans="18:24" ht="12.75">
      <c r="R1450" s="142">
        <v>143.6</v>
      </c>
      <c r="X1450" s="2">
        <v>14.36</v>
      </c>
    </row>
    <row r="1451" spans="18:24" ht="12.75">
      <c r="R1451" s="142">
        <v>143.7</v>
      </c>
      <c r="X1451" s="2">
        <v>14.37</v>
      </c>
    </row>
    <row r="1452" spans="18:24" ht="12.75">
      <c r="R1452" s="142">
        <v>143.8</v>
      </c>
      <c r="X1452" s="2">
        <v>14.38</v>
      </c>
    </row>
    <row r="1453" spans="18:24" ht="12.75">
      <c r="R1453" s="142">
        <v>143.9</v>
      </c>
      <c r="X1453" s="2">
        <v>14.39</v>
      </c>
    </row>
    <row r="1454" spans="18:24" ht="12.75">
      <c r="R1454" s="142">
        <v>144</v>
      </c>
      <c r="X1454" s="2">
        <v>14.4</v>
      </c>
    </row>
    <row r="1455" spans="18:24" ht="12.75">
      <c r="R1455" s="142">
        <v>144.1</v>
      </c>
      <c r="X1455" s="2">
        <v>14.41</v>
      </c>
    </row>
    <row r="1456" spans="18:24" ht="12.75">
      <c r="R1456" s="142">
        <v>144.2</v>
      </c>
      <c r="X1456" s="2">
        <v>14.42</v>
      </c>
    </row>
    <row r="1457" spans="18:24" ht="12.75">
      <c r="R1457" s="142">
        <v>144.3</v>
      </c>
      <c r="X1457" s="2">
        <v>14.43</v>
      </c>
    </row>
    <row r="1458" spans="18:24" ht="12.75">
      <c r="R1458" s="142">
        <v>144.4</v>
      </c>
      <c r="X1458" s="2">
        <v>14.44</v>
      </c>
    </row>
    <row r="1459" spans="18:24" ht="12.75">
      <c r="R1459" s="142">
        <v>144.5</v>
      </c>
      <c r="X1459" s="2">
        <v>14.45</v>
      </c>
    </row>
    <row r="1460" spans="18:24" ht="12.75">
      <c r="R1460" s="142">
        <v>144.6</v>
      </c>
      <c r="X1460" s="2">
        <v>14.46</v>
      </c>
    </row>
    <row r="1461" spans="18:24" ht="12.75">
      <c r="R1461" s="142">
        <v>144.7</v>
      </c>
      <c r="X1461" s="2">
        <v>14.47</v>
      </c>
    </row>
    <row r="1462" spans="18:24" ht="12.75">
      <c r="R1462" s="142">
        <v>144.8</v>
      </c>
      <c r="X1462" s="2">
        <v>14.48</v>
      </c>
    </row>
    <row r="1463" spans="18:24" ht="12.75">
      <c r="R1463" s="142">
        <v>144.9</v>
      </c>
      <c r="X1463" s="2">
        <v>14.49</v>
      </c>
    </row>
    <row r="1464" spans="18:24" ht="12.75">
      <c r="R1464" s="142">
        <v>145</v>
      </c>
      <c r="X1464" s="2">
        <v>14.5</v>
      </c>
    </row>
    <row r="1465" spans="18:24" ht="12.75">
      <c r="R1465" s="142">
        <v>145.1</v>
      </c>
      <c r="X1465" s="2">
        <v>14.51</v>
      </c>
    </row>
    <row r="1466" spans="18:24" ht="12.75">
      <c r="R1466" s="142">
        <v>145.2</v>
      </c>
      <c r="X1466" s="2">
        <v>14.52</v>
      </c>
    </row>
    <row r="1467" spans="18:24" ht="12.75">
      <c r="R1467" s="142">
        <v>145.3</v>
      </c>
      <c r="X1467" s="2">
        <v>14.53</v>
      </c>
    </row>
    <row r="1468" spans="18:24" ht="12.75">
      <c r="R1468" s="142">
        <v>145.4</v>
      </c>
      <c r="X1468" s="2">
        <v>14.54</v>
      </c>
    </row>
    <row r="1469" spans="18:24" ht="12.75">
      <c r="R1469" s="142">
        <v>145.5</v>
      </c>
      <c r="X1469" s="2">
        <v>14.55</v>
      </c>
    </row>
    <row r="1470" spans="18:24" ht="12.75">
      <c r="R1470" s="142">
        <v>145.6</v>
      </c>
      <c r="X1470" s="2">
        <v>14.56</v>
      </c>
    </row>
    <row r="1471" spans="18:24" ht="12.75">
      <c r="R1471" s="142">
        <v>145.7</v>
      </c>
      <c r="X1471" s="2">
        <v>14.57</v>
      </c>
    </row>
    <row r="1472" spans="18:24" ht="12.75">
      <c r="R1472" s="142">
        <v>145.8</v>
      </c>
      <c r="X1472" s="2">
        <v>14.58</v>
      </c>
    </row>
    <row r="1473" spans="18:24" ht="12.75">
      <c r="R1473" s="142">
        <v>145.9</v>
      </c>
      <c r="X1473" s="2">
        <v>14.59</v>
      </c>
    </row>
    <row r="1474" spans="18:24" ht="12.75">
      <c r="R1474" s="142">
        <v>146</v>
      </c>
      <c r="X1474" s="2">
        <v>14.6</v>
      </c>
    </row>
    <row r="1475" spans="18:24" ht="12.75">
      <c r="R1475" s="142">
        <v>146.1</v>
      </c>
      <c r="X1475" s="2">
        <v>14.61</v>
      </c>
    </row>
    <row r="1476" spans="18:24" ht="12.75">
      <c r="R1476" s="142">
        <v>146.2</v>
      </c>
      <c r="X1476" s="2">
        <v>14.62</v>
      </c>
    </row>
    <row r="1477" spans="18:24" ht="12.75">
      <c r="R1477" s="142">
        <v>146.3</v>
      </c>
      <c r="X1477" s="2">
        <v>14.63</v>
      </c>
    </row>
    <row r="1478" spans="18:24" ht="12.75">
      <c r="R1478" s="142">
        <v>146.4</v>
      </c>
      <c r="X1478" s="2">
        <v>14.64</v>
      </c>
    </row>
    <row r="1479" spans="18:24" ht="12.75">
      <c r="R1479" s="142">
        <v>146.5</v>
      </c>
      <c r="X1479" s="2">
        <v>14.65</v>
      </c>
    </row>
    <row r="1480" spans="18:24" ht="12.75">
      <c r="R1480" s="142">
        <v>146.6</v>
      </c>
      <c r="X1480" s="2">
        <v>14.66</v>
      </c>
    </row>
    <row r="1481" spans="18:24" ht="12.75">
      <c r="R1481" s="142">
        <v>146.7</v>
      </c>
      <c r="X1481" s="2">
        <v>14.67</v>
      </c>
    </row>
    <row r="1482" spans="18:24" ht="12.75">
      <c r="R1482" s="142">
        <v>146.8</v>
      </c>
      <c r="X1482" s="2">
        <v>14.68</v>
      </c>
    </row>
    <row r="1483" spans="18:24" ht="12.75">
      <c r="R1483" s="142">
        <v>146.9</v>
      </c>
      <c r="X1483" s="2">
        <v>14.69</v>
      </c>
    </row>
    <row r="1484" spans="18:24" ht="12.75">
      <c r="R1484" s="142">
        <v>147</v>
      </c>
      <c r="X1484" s="2">
        <v>14.7</v>
      </c>
    </row>
    <row r="1485" spans="18:24" ht="12.75">
      <c r="R1485" s="142">
        <v>147.1</v>
      </c>
      <c r="X1485" s="2">
        <v>14.71</v>
      </c>
    </row>
    <row r="1486" spans="18:24" ht="12.75">
      <c r="R1486" s="142">
        <v>147.2</v>
      </c>
      <c r="X1486" s="2">
        <v>14.72</v>
      </c>
    </row>
    <row r="1487" spans="18:24" ht="12.75">
      <c r="R1487" s="142">
        <v>147.3</v>
      </c>
      <c r="X1487" s="2">
        <v>14.73</v>
      </c>
    </row>
    <row r="1488" spans="18:24" ht="12.75">
      <c r="R1488" s="142">
        <v>147.4</v>
      </c>
      <c r="X1488" s="2">
        <v>14.74</v>
      </c>
    </row>
    <row r="1489" spans="18:24" ht="12.75">
      <c r="R1489" s="142">
        <v>147.5</v>
      </c>
      <c r="X1489" s="2">
        <v>14.75</v>
      </c>
    </row>
    <row r="1490" spans="18:24" ht="12.75">
      <c r="R1490" s="142">
        <v>147.6</v>
      </c>
      <c r="X1490" s="2">
        <v>14.76</v>
      </c>
    </row>
    <row r="1491" spans="18:24" ht="12.75">
      <c r="R1491" s="142">
        <v>147.7</v>
      </c>
      <c r="X1491" s="2">
        <v>14.77</v>
      </c>
    </row>
    <row r="1492" spans="18:24" ht="12.75">
      <c r="R1492" s="142">
        <v>147.8</v>
      </c>
      <c r="X1492" s="2">
        <v>14.78</v>
      </c>
    </row>
    <row r="1493" spans="18:24" ht="12.75">
      <c r="R1493" s="142">
        <v>147.9</v>
      </c>
      <c r="X1493" s="2">
        <v>14.79</v>
      </c>
    </row>
    <row r="1494" spans="18:24" ht="12.75">
      <c r="R1494" s="142">
        <v>148</v>
      </c>
      <c r="X1494" s="2">
        <v>14.8</v>
      </c>
    </row>
    <row r="1495" spans="18:24" ht="12.75">
      <c r="R1495" s="142">
        <v>148.1</v>
      </c>
      <c r="X1495" s="2">
        <v>14.81</v>
      </c>
    </row>
    <row r="1496" spans="18:24" ht="12.75">
      <c r="R1496" s="142">
        <v>148.2</v>
      </c>
      <c r="X1496" s="2">
        <v>14.82</v>
      </c>
    </row>
    <row r="1497" spans="18:24" ht="12.75">
      <c r="R1497" s="142">
        <v>148.3</v>
      </c>
      <c r="X1497" s="2">
        <v>14.83</v>
      </c>
    </row>
    <row r="1498" spans="18:24" ht="12.75">
      <c r="R1498" s="142">
        <v>148.4</v>
      </c>
      <c r="X1498" s="2">
        <v>14.84</v>
      </c>
    </row>
    <row r="1499" spans="18:24" ht="12.75">
      <c r="R1499" s="142">
        <v>148.5</v>
      </c>
      <c r="X1499" s="2">
        <v>14.85</v>
      </c>
    </row>
    <row r="1500" spans="18:24" ht="12.75">
      <c r="R1500" s="142">
        <v>148.6</v>
      </c>
      <c r="X1500" s="2">
        <v>14.86</v>
      </c>
    </row>
    <row r="1501" spans="18:24" ht="12.75">
      <c r="R1501" s="142">
        <v>148.7</v>
      </c>
      <c r="X1501" s="2">
        <v>14.87</v>
      </c>
    </row>
    <row r="1502" spans="18:24" ht="12.75">
      <c r="R1502" s="142">
        <v>148.8</v>
      </c>
      <c r="X1502" s="2">
        <v>14.88</v>
      </c>
    </row>
    <row r="1503" spans="18:24" ht="12.75">
      <c r="R1503" s="142">
        <v>148.9</v>
      </c>
      <c r="X1503" s="2">
        <v>14.89</v>
      </c>
    </row>
    <row r="1504" spans="18:24" ht="12.75">
      <c r="R1504" s="142">
        <v>149</v>
      </c>
      <c r="X1504" s="2">
        <v>14.9</v>
      </c>
    </row>
    <row r="1505" spans="18:24" ht="12.75">
      <c r="R1505" s="142">
        <v>149.1</v>
      </c>
      <c r="X1505" s="2">
        <v>14.91</v>
      </c>
    </row>
    <row r="1506" spans="18:24" ht="12.75">
      <c r="R1506" s="142">
        <v>149.2</v>
      </c>
      <c r="X1506" s="2">
        <v>14.92</v>
      </c>
    </row>
    <row r="1507" spans="18:24" ht="12.75">
      <c r="R1507" s="142">
        <v>149.3</v>
      </c>
      <c r="X1507" s="2">
        <v>14.93</v>
      </c>
    </row>
    <row r="1508" spans="18:24" ht="12.75">
      <c r="R1508" s="142">
        <v>149.4</v>
      </c>
      <c r="X1508" s="2">
        <v>14.94</v>
      </c>
    </row>
    <row r="1509" spans="18:24" ht="12.75">
      <c r="R1509" s="142">
        <v>149.5</v>
      </c>
      <c r="X1509" s="2">
        <v>14.95</v>
      </c>
    </row>
    <row r="1510" spans="18:24" ht="12.75">
      <c r="R1510" s="142">
        <v>149.6</v>
      </c>
      <c r="X1510" s="2">
        <v>14.96</v>
      </c>
    </row>
    <row r="1511" spans="18:24" ht="12.75">
      <c r="R1511" s="142">
        <v>149.7</v>
      </c>
      <c r="X1511" s="2">
        <v>14.97</v>
      </c>
    </row>
    <row r="1512" spans="18:24" ht="12.75">
      <c r="R1512" s="142">
        <v>149.8</v>
      </c>
      <c r="X1512" s="2">
        <v>14.98</v>
      </c>
    </row>
    <row r="1513" spans="18:24" ht="12.75">
      <c r="R1513" s="142">
        <v>149.9</v>
      </c>
      <c r="X1513" s="2">
        <v>14.99</v>
      </c>
    </row>
    <row r="1514" spans="18:24" ht="12.75">
      <c r="R1514" s="142">
        <v>150</v>
      </c>
      <c r="X1514" s="2">
        <v>15</v>
      </c>
    </row>
    <row r="1515" spans="18:24" ht="12.75">
      <c r="R1515" s="142">
        <v>150.1</v>
      </c>
      <c r="X1515" s="2">
        <v>15.01</v>
      </c>
    </row>
    <row r="1516" spans="18:24" ht="12.75">
      <c r="R1516" s="142">
        <v>150.2</v>
      </c>
      <c r="X1516" s="2">
        <v>15.02</v>
      </c>
    </row>
    <row r="1517" spans="18:24" ht="12.75">
      <c r="R1517" s="142">
        <v>150.3</v>
      </c>
      <c r="X1517" s="2">
        <v>15.03</v>
      </c>
    </row>
    <row r="1518" spans="18:24" ht="12.75">
      <c r="R1518" s="142">
        <v>150.4</v>
      </c>
      <c r="X1518" s="2">
        <v>15.04</v>
      </c>
    </row>
    <row r="1519" spans="18:24" ht="12.75">
      <c r="R1519" s="142">
        <v>150.5</v>
      </c>
      <c r="X1519" s="2">
        <v>15.05</v>
      </c>
    </row>
    <row r="1520" spans="18:24" ht="12.75">
      <c r="R1520" s="142">
        <v>150.6</v>
      </c>
      <c r="X1520" s="2">
        <v>15.06</v>
      </c>
    </row>
    <row r="1521" spans="18:24" ht="12.75">
      <c r="R1521" s="142">
        <v>150.7</v>
      </c>
      <c r="X1521" s="2">
        <v>15.07</v>
      </c>
    </row>
    <row r="1522" spans="18:24" ht="12.75">
      <c r="R1522" s="142">
        <v>150.8</v>
      </c>
      <c r="X1522" s="2">
        <v>15.08</v>
      </c>
    </row>
    <row r="1523" spans="18:24" ht="12.75">
      <c r="R1523" s="142">
        <v>150.9</v>
      </c>
      <c r="X1523" s="2">
        <v>15.09</v>
      </c>
    </row>
    <row r="1524" spans="18:24" ht="12.75">
      <c r="R1524" s="142">
        <v>151</v>
      </c>
      <c r="X1524" s="2">
        <v>15.1</v>
      </c>
    </row>
    <row r="1525" spans="18:24" ht="12.75">
      <c r="R1525" s="142"/>
      <c r="X1525" s="2">
        <v>15.11</v>
      </c>
    </row>
    <row r="1526" spans="18:24" ht="12.75">
      <c r="R1526" s="142"/>
      <c r="X1526" s="2">
        <v>15.12</v>
      </c>
    </row>
    <row r="1527" ht="12.75">
      <c r="X1527" s="2">
        <v>15.13</v>
      </c>
    </row>
    <row r="1528" ht="12.75">
      <c r="X1528" s="2">
        <v>15.14</v>
      </c>
    </row>
    <row r="1529" ht="12.75">
      <c r="X1529" s="2">
        <v>15.15</v>
      </c>
    </row>
    <row r="1530" ht="12.75">
      <c r="X1530" s="2">
        <v>15.16</v>
      </c>
    </row>
    <row r="1531" ht="12.75">
      <c r="X1531" s="2">
        <v>15.17</v>
      </c>
    </row>
    <row r="1532" ht="12.75">
      <c r="X1532" s="2">
        <v>15.18</v>
      </c>
    </row>
    <row r="1533" ht="12.75">
      <c r="X1533" s="2">
        <v>15.19</v>
      </c>
    </row>
    <row r="1534" ht="12.75">
      <c r="X1534" s="2">
        <v>15.2</v>
      </c>
    </row>
    <row r="1535" ht="12.75">
      <c r="X1535" s="2">
        <v>15.21</v>
      </c>
    </row>
    <row r="1536" ht="12.75">
      <c r="X1536" s="2">
        <v>15.22</v>
      </c>
    </row>
    <row r="1537" ht="12.75">
      <c r="X1537" s="2">
        <v>15.23</v>
      </c>
    </row>
    <row r="1538" ht="12.75">
      <c r="X1538" s="2">
        <v>15.24</v>
      </c>
    </row>
    <row r="1539" ht="12.75">
      <c r="X1539" s="2">
        <v>15.25</v>
      </c>
    </row>
    <row r="1540" ht="12.75">
      <c r="X1540" s="2">
        <v>15.26</v>
      </c>
    </row>
    <row r="1541" ht="12.75">
      <c r="X1541" s="2">
        <v>15.27</v>
      </c>
    </row>
    <row r="1542" ht="12.75">
      <c r="X1542" s="2">
        <v>15.28</v>
      </c>
    </row>
    <row r="1543" ht="12.75">
      <c r="X1543" s="2">
        <v>15.29</v>
      </c>
    </row>
    <row r="1544" ht="12.75">
      <c r="X1544" s="2">
        <v>15.3</v>
      </c>
    </row>
    <row r="1545" ht="12.75">
      <c r="X1545" s="2">
        <v>15.31</v>
      </c>
    </row>
    <row r="1546" ht="12.75">
      <c r="X1546" s="2">
        <v>15.32</v>
      </c>
    </row>
    <row r="1547" ht="12.75">
      <c r="X1547" s="2">
        <v>15.33</v>
      </c>
    </row>
    <row r="1548" ht="12.75">
      <c r="X1548" s="2">
        <v>15.34</v>
      </c>
    </row>
    <row r="1549" ht="12.75">
      <c r="X1549" s="2">
        <v>15.35</v>
      </c>
    </row>
    <row r="1550" ht="12.75">
      <c r="X1550" s="2">
        <v>15.36</v>
      </c>
    </row>
    <row r="1551" ht="12.75">
      <c r="X1551" s="2">
        <v>15.37</v>
      </c>
    </row>
    <row r="1552" ht="12.75">
      <c r="X1552" s="2">
        <v>15.38</v>
      </c>
    </row>
    <row r="1553" ht="12.75">
      <c r="X1553" s="2">
        <v>15.39</v>
      </c>
    </row>
    <row r="1554" ht="12.75">
      <c r="X1554" s="2">
        <v>15.4</v>
      </c>
    </row>
    <row r="1555" ht="12.75">
      <c r="X1555" s="2">
        <v>15.41</v>
      </c>
    </row>
    <row r="1556" ht="12.75">
      <c r="X1556" s="2">
        <v>15.42</v>
      </c>
    </row>
    <row r="1557" ht="12.75">
      <c r="X1557" s="2">
        <v>15.43</v>
      </c>
    </row>
    <row r="1558" ht="12.75">
      <c r="X1558" s="2">
        <v>15.44</v>
      </c>
    </row>
    <row r="1559" ht="12.75">
      <c r="X1559" s="2">
        <v>15.45</v>
      </c>
    </row>
    <row r="1560" ht="12.75">
      <c r="X1560" s="2">
        <v>15.46</v>
      </c>
    </row>
    <row r="1561" ht="12.75">
      <c r="X1561" s="2">
        <v>15.47</v>
      </c>
    </row>
    <row r="1562" ht="12.75">
      <c r="X1562" s="2">
        <v>15.48</v>
      </c>
    </row>
    <row r="1563" ht="12.75">
      <c r="X1563" s="2">
        <v>15.49</v>
      </c>
    </row>
    <row r="1564" ht="12.75">
      <c r="X1564" s="2">
        <v>15.5</v>
      </c>
    </row>
    <row r="1565" ht="12.75">
      <c r="X1565" s="2">
        <v>15.51</v>
      </c>
    </row>
    <row r="1566" ht="12.75">
      <c r="X1566" s="2">
        <v>15.52</v>
      </c>
    </row>
    <row r="1567" ht="12.75">
      <c r="X1567" s="2">
        <v>15.53</v>
      </c>
    </row>
    <row r="1568" ht="12.75">
      <c r="X1568" s="2">
        <v>15.54</v>
      </c>
    </row>
    <row r="1569" ht="12.75">
      <c r="X1569" s="2">
        <v>15.55</v>
      </c>
    </row>
    <row r="1570" ht="12.75">
      <c r="X1570" s="2">
        <v>15.56</v>
      </c>
    </row>
    <row r="1571" ht="12.75">
      <c r="X1571" s="2">
        <v>15.57</v>
      </c>
    </row>
    <row r="1572" ht="12.75">
      <c r="X1572" s="2">
        <v>15.58</v>
      </c>
    </row>
    <row r="1573" ht="12.75">
      <c r="X1573" s="2">
        <v>15.59</v>
      </c>
    </row>
    <row r="1574" ht="12.75">
      <c r="X1574" s="2">
        <v>15.6</v>
      </c>
    </row>
    <row r="1575" ht="12.75">
      <c r="X1575" s="2">
        <v>15.61</v>
      </c>
    </row>
    <row r="1576" ht="12.75">
      <c r="X1576" s="2">
        <v>15.62</v>
      </c>
    </row>
    <row r="1577" ht="12.75">
      <c r="X1577" s="2">
        <v>15.63</v>
      </c>
    </row>
    <row r="1578" ht="12.75">
      <c r="X1578" s="2">
        <v>15.64</v>
      </c>
    </row>
    <row r="1579" ht="12.75">
      <c r="X1579" s="2">
        <v>15.65</v>
      </c>
    </row>
    <row r="1580" ht="12.75">
      <c r="X1580" s="2">
        <v>15.66</v>
      </c>
    </row>
    <row r="1581" ht="12.75">
      <c r="X1581" s="2">
        <v>15.67</v>
      </c>
    </row>
    <row r="1582" ht="12.75">
      <c r="X1582" s="2">
        <v>15.68</v>
      </c>
    </row>
    <row r="1583" ht="12.75">
      <c r="X1583" s="2">
        <v>15.69</v>
      </c>
    </row>
    <row r="1584" ht="12.75">
      <c r="X1584" s="2">
        <v>15.7</v>
      </c>
    </row>
    <row r="1585" ht="12.75">
      <c r="X1585" s="2">
        <v>15.71</v>
      </c>
    </row>
    <row r="1586" ht="12.75">
      <c r="X1586" s="2">
        <v>15.72</v>
      </c>
    </row>
    <row r="1587" ht="12.75">
      <c r="X1587" s="2">
        <v>15.73</v>
      </c>
    </row>
    <row r="1588" ht="12.75">
      <c r="X1588" s="2">
        <v>15.74</v>
      </c>
    </row>
    <row r="1589" ht="12.75">
      <c r="X1589" s="2">
        <v>15.75</v>
      </c>
    </row>
    <row r="1590" ht="12.75">
      <c r="X1590" s="2">
        <v>15.76</v>
      </c>
    </row>
    <row r="1591" ht="12.75">
      <c r="X1591" s="2">
        <v>15.77</v>
      </c>
    </row>
    <row r="1592" ht="12.75">
      <c r="X1592" s="2">
        <v>15.78</v>
      </c>
    </row>
    <row r="1593" ht="12.75">
      <c r="X1593" s="2">
        <v>15.79</v>
      </c>
    </row>
    <row r="1594" ht="12.75">
      <c r="X1594" s="2">
        <v>15.8</v>
      </c>
    </row>
    <row r="1595" ht="12.75">
      <c r="X1595" s="2">
        <v>15.81</v>
      </c>
    </row>
    <row r="1596" ht="12.75">
      <c r="X1596" s="2">
        <v>15.82</v>
      </c>
    </row>
    <row r="1597" ht="12.75">
      <c r="X1597" s="2">
        <v>15.83</v>
      </c>
    </row>
    <row r="1598" ht="12.75">
      <c r="X1598" s="2">
        <v>15.84</v>
      </c>
    </row>
    <row r="1599" ht="12.75">
      <c r="X1599" s="2">
        <v>15.85</v>
      </c>
    </row>
    <row r="1600" ht="12.75">
      <c r="X1600" s="2">
        <v>15.86</v>
      </c>
    </row>
    <row r="1601" ht="12.75">
      <c r="X1601" s="2">
        <v>15.87</v>
      </c>
    </row>
    <row r="1602" ht="12.75">
      <c r="X1602" s="2">
        <v>15.88</v>
      </c>
    </row>
    <row r="1603" ht="12.75">
      <c r="X1603" s="2">
        <v>15.89</v>
      </c>
    </row>
    <row r="1604" ht="12.75">
      <c r="X1604" s="2">
        <v>15.9</v>
      </c>
    </row>
    <row r="1605" ht="12.75">
      <c r="X1605" s="2">
        <v>15.91</v>
      </c>
    </row>
    <row r="1606" ht="12.75">
      <c r="X1606" s="2">
        <v>15.92</v>
      </c>
    </row>
    <row r="1607" ht="12.75">
      <c r="X1607" s="2">
        <v>15.93</v>
      </c>
    </row>
    <row r="1608" ht="12.75">
      <c r="X1608" s="2">
        <v>15.94</v>
      </c>
    </row>
    <row r="1609" ht="12.75">
      <c r="X1609" s="2">
        <v>15.95</v>
      </c>
    </row>
    <row r="1610" ht="12.75">
      <c r="X1610" s="2">
        <v>15.96</v>
      </c>
    </row>
    <row r="1611" ht="12.75">
      <c r="X1611" s="2">
        <v>15.97</v>
      </c>
    </row>
    <row r="1612" ht="12.75">
      <c r="X1612" s="2">
        <v>15.98</v>
      </c>
    </row>
    <row r="1613" ht="12.75">
      <c r="X1613" s="2">
        <v>15.99</v>
      </c>
    </row>
    <row r="1614" ht="12.75">
      <c r="X1614" s="2">
        <v>16</v>
      </c>
    </row>
    <row r="1615" ht="12.75">
      <c r="X1615" s="2">
        <v>16.01</v>
      </c>
    </row>
    <row r="1616" ht="12.75">
      <c r="X1616" s="2">
        <v>16.02</v>
      </c>
    </row>
    <row r="1617" ht="12.75">
      <c r="X1617" s="2">
        <v>16.03</v>
      </c>
    </row>
    <row r="1618" ht="12.75">
      <c r="X1618" s="2">
        <v>16.04</v>
      </c>
    </row>
    <row r="1619" ht="12.75">
      <c r="X1619" s="2">
        <v>16.05</v>
      </c>
    </row>
    <row r="1620" ht="12.75">
      <c r="X1620" s="2">
        <v>16.06</v>
      </c>
    </row>
    <row r="1621" ht="12.75">
      <c r="X1621" s="2">
        <v>16.07</v>
      </c>
    </row>
    <row r="1622" ht="12.75">
      <c r="X1622" s="2">
        <v>16.08</v>
      </c>
    </row>
    <row r="1623" ht="12.75">
      <c r="X1623" s="2">
        <v>16.09</v>
      </c>
    </row>
    <row r="1624" ht="12.75">
      <c r="X1624" s="2">
        <v>16.1</v>
      </c>
    </row>
    <row r="1625" ht="12.75">
      <c r="X1625" s="2">
        <v>16.11</v>
      </c>
    </row>
    <row r="1626" ht="12.75">
      <c r="X1626" s="2">
        <v>16.12</v>
      </c>
    </row>
    <row r="1627" ht="12.75">
      <c r="X1627" s="2">
        <v>16.13</v>
      </c>
    </row>
    <row r="1628" ht="12.75">
      <c r="X1628" s="2">
        <v>16.14</v>
      </c>
    </row>
    <row r="1629" ht="12.75">
      <c r="X1629" s="2">
        <v>16.15</v>
      </c>
    </row>
    <row r="1630" ht="12.75">
      <c r="X1630" s="2">
        <v>16.16</v>
      </c>
    </row>
    <row r="1631" ht="12.75">
      <c r="X1631" s="2">
        <v>16.17</v>
      </c>
    </row>
    <row r="1632" ht="12.75">
      <c r="X1632" s="2">
        <v>16.18</v>
      </c>
    </row>
    <row r="1633" ht="12.75">
      <c r="X1633" s="2">
        <v>16.19</v>
      </c>
    </row>
    <row r="1634" ht="12.75">
      <c r="X1634" s="2">
        <v>16.2</v>
      </c>
    </row>
    <row r="1635" ht="12.75">
      <c r="X1635" s="2">
        <v>16.21</v>
      </c>
    </row>
    <row r="1636" ht="12.75">
      <c r="X1636" s="2">
        <v>16.22</v>
      </c>
    </row>
    <row r="1637" ht="12.75">
      <c r="X1637" s="2">
        <v>16.23</v>
      </c>
    </row>
    <row r="1638" ht="12.75">
      <c r="X1638" s="2">
        <v>16.24</v>
      </c>
    </row>
    <row r="1639" ht="12.75">
      <c r="X1639" s="2">
        <v>16.25</v>
      </c>
    </row>
    <row r="1640" ht="12.75">
      <c r="X1640" s="2">
        <v>16.26</v>
      </c>
    </row>
    <row r="1641" ht="12.75">
      <c r="X1641" s="2">
        <v>16.27</v>
      </c>
    </row>
    <row r="1642" ht="12.75">
      <c r="X1642" s="2">
        <v>16.28</v>
      </c>
    </row>
    <row r="1643" ht="12.75">
      <c r="X1643" s="2">
        <v>16.29</v>
      </c>
    </row>
    <row r="1644" ht="12.75">
      <c r="X1644" s="2">
        <v>16.3</v>
      </c>
    </row>
    <row r="1645" ht="12.75">
      <c r="X1645" s="2">
        <v>16.31</v>
      </c>
    </row>
    <row r="1646" ht="12.75">
      <c r="X1646" s="2">
        <v>16.32</v>
      </c>
    </row>
    <row r="1647" ht="12.75">
      <c r="X1647" s="2">
        <v>16.33</v>
      </c>
    </row>
    <row r="1648" ht="12.75">
      <c r="X1648" s="2">
        <v>16.34</v>
      </c>
    </row>
    <row r="1649" ht="12.75">
      <c r="X1649" s="2">
        <v>16.35</v>
      </c>
    </row>
    <row r="1650" ht="12.75">
      <c r="X1650" s="2">
        <v>16.36</v>
      </c>
    </row>
    <row r="1651" ht="12.75">
      <c r="X1651" s="2">
        <v>16.37</v>
      </c>
    </row>
    <row r="1652" ht="12.75">
      <c r="X1652" s="2">
        <v>16.38</v>
      </c>
    </row>
    <row r="1653" ht="12.75">
      <c r="X1653" s="2">
        <v>16.39</v>
      </c>
    </row>
    <row r="1654" ht="12.75">
      <c r="X1654" s="2">
        <v>16.4</v>
      </c>
    </row>
    <row r="1655" ht="12.75">
      <c r="X1655" s="2">
        <v>16.41</v>
      </c>
    </row>
    <row r="1656" ht="12.75">
      <c r="X1656" s="2">
        <v>16.42</v>
      </c>
    </row>
    <row r="1657" ht="12.75">
      <c r="X1657" s="2">
        <v>16.43</v>
      </c>
    </row>
    <row r="1658" ht="12.75">
      <c r="X1658" s="2">
        <v>16.44</v>
      </c>
    </row>
    <row r="1659" ht="12.75">
      <c r="X1659" s="2">
        <v>16.45</v>
      </c>
    </row>
    <row r="1660" ht="12.75">
      <c r="X1660" s="2">
        <v>16.46</v>
      </c>
    </row>
    <row r="1661" ht="12.75">
      <c r="X1661" s="2">
        <v>16.47</v>
      </c>
    </row>
    <row r="1662" ht="12.75">
      <c r="X1662" s="2">
        <v>16.48</v>
      </c>
    </row>
    <row r="1663" ht="12.75">
      <c r="X1663" s="2">
        <v>16.49</v>
      </c>
    </row>
    <row r="1664" ht="12.75">
      <c r="X1664" s="2">
        <v>16.5</v>
      </c>
    </row>
    <row r="1665" ht="12.75">
      <c r="X1665" s="2">
        <v>16.51</v>
      </c>
    </row>
    <row r="1666" ht="12.75">
      <c r="X1666" s="2">
        <v>16.52</v>
      </c>
    </row>
    <row r="1667" ht="12.75">
      <c r="X1667" s="2">
        <v>16.53</v>
      </c>
    </row>
    <row r="1668" ht="12.75">
      <c r="X1668" s="2">
        <v>16.54</v>
      </c>
    </row>
    <row r="1669" ht="12.75">
      <c r="X1669" s="2">
        <v>16.55</v>
      </c>
    </row>
    <row r="1670" ht="12.75">
      <c r="X1670" s="2">
        <v>16.56</v>
      </c>
    </row>
    <row r="1671" ht="12.75">
      <c r="X1671" s="2">
        <v>16.57</v>
      </c>
    </row>
    <row r="1672" ht="12.75">
      <c r="X1672" s="2">
        <v>16.58</v>
      </c>
    </row>
    <row r="1673" ht="12.75">
      <c r="X1673" s="2">
        <v>16.59</v>
      </c>
    </row>
    <row r="1674" ht="12.75">
      <c r="X1674" s="2">
        <v>16.6</v>
      </c>
    </row>
    <row r="1675" ht="12.75">
      <c r="X1675" s="2">
        <v>16.61</v>
      </c>
    </row>
    <row r="1676" ht="12.75">
      <c r="X1676" s="2">
        <v>16.62</v>
      </c>
    </row>
    <row r="1677" ht="12.75">
      <c r="X1677" s="2">
        <v>16.63</v>
      </c>
    </row>
    <row r="1678" ht="12.75">
      <c r="X1678" s="2">
        <v>16.64</v>
      </c>
    </row>
    <row r="1679" ht="12.75">
      <c r="X1679" s="2">
        <v>16.65</v>
      </c>
    </row>
    <row r="1680" ht="12.75">
      <c r="X1680" s="2">
        <v>16.66</v>
      </c>
    </row>
    <row r="1681" ht="12.75">
      <c r="X1681" s="2">
        <v>16.67</v>
      </c>
    </row>
    <row r="1682" ht="12.75">
      <c r="X1682" s="2">
        <v>16.68</v>
      </c>
    </row>
    <row r="1683" ht="12.75">
      <c r="X1683" s="2">
        <v>16.69</v>
      </c>
    </row>
    <row r="1684" ht="12.75">
      <c r="X1684" s="2">
        <v>16.7</v>
      </c>
    </row>
    <row r="1685" ht="12.75">
      <c r="X1685" s="2">
        <v>16.71</v>
      </c>
    </row>
    <row r="1686" ht="12.75">
      <c r="X1686" s="2">
        <v>16.72</v>
      </c>
    </row>
    <row r="1687" ht="12.75">
      <c r="X1687" s="2">
        <v>16.73</v>
      </c>
    </row>
    <row r="1688" ht="12.75">
      <c r="X1688" s="2">
        <v>16.74</v>
      </c>
    </row>
    <row r="1689" ht="12.75">
      <c r="X1689" s="2">
        <v>16.75</v>
      </c>
    </row>
    <row r="1690" ht="12.75">
      <c r="X1690" s="2">
        <v>16.76</v>
      </c>
    </row>
    <row r="1691" ht="12.75">
      <c r="X1691" s="2">
        <v>16.77</v>
      </c>
    </row>
    <row r="1692" ht="12.75">
      <c r="X1692" s="2">
        <v>16.78</v>
      </c>
    </row>
    <row r="1693" ht="12.75">
      <c r="X1693" s="2">
        <v>16.79</v>
      </c>
    </row>
    <row r="1694" ht="12.75">
      <c r="X1694" s="2">
        <v>16.8</v>
      </c>
    </row>
    <row r="1695" ht="12.75">
      <c r="X1695" s="2">
        <v>16.81</v>
      </c>
    </row>
    <row r="1696" ht="12.75">
      <c r="X1696" s="2">
        <v>16.82</v>
      </c>
    </row>
    <row r="1697" ht="12.75">
      <c r="X1697" s="2">
        <v>16.83</v>
      </c>
    </row>
    <row r="1698" ht="12.75">
      <c r="X1698" s="2">
        <v>16.84</v>
      </c>
    </row>
    <row r="1699" ht="12.75">
      <c r="X1699" s="2">
        <v>16.85</v>
      </c>
    </row>
    <row r="1700" ht="12.75">
      <c r="X1700" s="2">
        <v>16.86</v>
      </c>
    </row>
    <row r="1701" ht="12.75">
      <c r="X1701" s="2">
        <v>16.87</v>
      </c>
    </row>
    <row r="1702" ht="12.75">
      <c r="X1702" s="2">
        <v>16.88</v>
      </c>
    </row>
    <row r="1703" ht="12.75">
      <c r="X1703" s="2">
        <v>16.89</v>
      </c>
    </row>
    <row r="1704" ht="12.75">
      <c r="X1704" s="2">
        <v>16.9</v>
      </c>
    </row>
    <row r="1705" ht="12.75">
      <c r="X1705" s="2">
        <v>16.91</v>
      </c>
    </row>
    <row r="1706" ht="12.75">
      <c r="X1706" s="2">
        <v>16.92</v>
      </c>
    </row>
    <row r="1707" ht="12.75">
      <c r="X1707" s="2">
        <v>16.93</v>
      </c>
    </row>
    <row r="1708" ht="12.75">
      <c r="X1708" s="2">
        <v>16.94</v>
      </c>
    </row>
    <row r="1709" ht="12.75">
      <c r="X1709" s="2">
        <v>16.95</v>
      </c>
    </row>
    <row r="1710" ht="12.75">
      <c r="X1710" s="2">
        <v>16.96</v>
      </c>
    </row>
    <row r="1711" ht="12.75">
      <c r="X1711" s="2">
        <v>16.97</v>
      </c>
    </row>
    <row r="1712" ht="12.75">
      <c r="X1712" s="2">
        <v>16.98</v>
      </c>
    </row>
    <row r="1713" ht="12.75">
      <c r="X1713" s="2">
        <v>16.99</v>
      </c>
    </row>
    <row r="1714" ht="12.75">
      <c r="X1714" s="2">
        <v>17</v>
      </c>
    </row>
    <row r="1715" ht="12.75">
      <c r="X1715" s="2">
        <v>17.01</v>
      </c>
    </row>
    <row r="1716" ht="12.75">
      <c r="X1716" s="2">
        <v>17.02</v>
      </c>
    </row>
    <row r="1717" ht="12.75">
      <c r="X1717" s="2">
        <v>17.03</v>
      </c>
    </row>
    <row r="1718" ht="12.75">
      <c r="X1718" s="2">
        <v>17.04</v>
      </c>
    </row>
    <row r="1719" ht="12.75">
      <c r="X1719" s="2">
        <v>17.05</v>
      </c>
    </row>
    <row r="1720" ht="12.75">
      <c r="X1720" s="2">
        <v>17.06</v>
      </c>
    </row>
    <row r="1721" ht="12.75">
      <c r="X1721" s="2">
        <v>17.07</v>
      </c>
    </row>
    <row r="1722" ht="12.75">
      <c r="X1722" s="2">
        <v>17.08</v>
      </c>
    </row>
    <row r="1723" ht="12.75">
      <c r="X1723" s="2">
        <v>17.09</v>
      </c>
    </row>
    <row r="1724" ht="12.75">
      <c r="X1724" s="2">
        <v>17.1</v>
      </c>
    </row>
    <row r="1725" ht="12.75">
      <c r="X1725" s="2">
        <v>17.11</v>
      </c>
    </row>
    <row r="1726" ht="12.75">
      <c r="X1726" s="2">
        <v>17.12</v>
      </c>
    </row>
    <row r="1727" ht="12.75">
      <c r="X1727" s="2">
        <v>17.13</v>
      </c>
    </row>
    <row r="1728" ht="12.75">
      <c r="X1728" s="2">
        <v>17.14</v>
      </c>
    </row>
    <row r="1729" ht="12.75">
      <c r="X1729" s="2">
        <v>17.15</v>
      </c>
    </row>
    <row r="1730" ht="12.75">
      <c r="X1730" s="2">
        <v>17.16</v>
      </c>
    </row>
    <row r="1731" ht="12.75">
      <c r="X1731" s="2">
        <v>17.17</v>
      </c>
    </row>
    <row r="1732" ht="12.75">
      <c r="X1732" s="2">
        <v>17.18</v>
      </c>
    </row>
    <row r="1733" ht="12.75">
      <c r="X1733" s="2">
        <v>17.19</v>
      </c>
    </row>
    <row r="1734" ht="12.75">
      <c r="X1734" s="2">
        <v>17.2</v>
      </c>
    </row>
    <row r="1735" ht="12.75">
      <c r="X1735" s="2">
        <v>17.21</v>
      </c>
    </row>
    <row r="1736" ht="12.75">
      <c r="X1736" s="2">
        <v>17.22</v>
      </c>
    </row>
    <row r="1737" ht="12.75">
      <c r="X1737" s="2">
        <v>17.23</v>
      </c>
    </row>
    <row r="1738" ht="12.75">
      <c r="X1738" s="2">
        <v>17.24</v>
      </c>
    </row>
    <row r="1739" ht="12.75">
      <c r="X1739" s="2">
        <v>17.25</v>
      </c>
    </row>
    <row r="1740" ht="12.75">
      <c r="X1740" s="2">
        <v>17.26</v>
      </c>
    </row>
    <row r="1741" ht="12.75">
      <c r="X1741" s="2">
        <v>17.27</v>
      </c>
    </row>
    <row r="1742" ht="12.75">
      <c r="X1742" s="2">
        <v>17.28</v>
      </c>
    </row>
    <row r="1743" ht="12.75">
      <c r="X1743" s="2">
        <v>17.29</v>
      </c>
    </row>
    <row r="1744" ht="12.75">
      <c r="X1744" s="2">
        <v>17.3</v>
      </c>
    </row>
    <row r="1745" ht="12.75">
      <c r="X1745" s="2">
        <v>17.31</v>
      </c>
    </row>
    <row r="1746" ht="12.75">
      <c r="X1746" s="2">
        <v>17.32</v>
      </c>
    </row>
    <row r="1747" ht="12.75">
      <c r="X1747" s="2">
        <v>17.33</v>
      </c>
    </row>
    <row r="1748" ht="12.75">
      <c r="X1748" s="2">
        <v>17.34</v>
      </c>
    </row>
    <row r="1749" ht="12.75">
      <c r="X1749" s="2">
        <v>17.35</v>
      </c>
    </row>
    <row r="1750" ht="12.75">
      <c r="X1750" s="2">
        <v>17.36</v>
      </c>
    </row>
    <row r="1751" ht="12.75">
      <c r="X1751" s="2">
        <v>17.37</v>
      </c>
    </row>
    <row r="1752" ht="12.75">
      <c r="X1752" s="2">
        <v>17.38</v>
      </c>
    </row>
    <row r="1753" ht="12.75">
      <c r="X1753" s="2">
        <v>17.39</v>
      </c>
    </row>
    <row r="1754" ht="12.75">
      <c r="X1754" s="2">
        <v>17.4</v>
      </c>
    </row>
    <row r="1755" ht="12.75">
      <c r="X1755" s="2">
        <v>17.41</v>
      </c>
    </row>
    <row r="1756" ht="12.75">
      <c r="X1756" s="2">
        <v>17.42</v>
      </c>
    </row>
    <row r="1757" ht="12.75">
      <c r="X1757" s="2">
        <v>17.43</v>
      </c>
    </row>
    <row r="1758" ht="12.75">
      <c r="X1758" s="2">
        <v>17.44</v>
      </c>
    </row>
    <row r="1759" ht="12.75">
      <c r="X1759" s="2">
        <v>17.45</v>
      </c>
    </row>
    <row r="1760" ht="12.75">
      <c r="X1760" s="2">
        <v>17.46</v>
      </c>
    </row>
    <row r="1761" ht="12.75">
      <c r="X1761" s="2">
        <v>17.47</v>
      </c>
    </row>
    <row r="1762" ht="12.75">
      <c r="X1762" s="2">
        <v>17.48</v>
      </c>
    </row>
    <row r="1763" ht="12.75">
      <c r="X1763" s="2">
        <v>17.49</v>
      </c>
    </row>
    <row r="1764" ht="12.75">
      <c r="X1764" s="2">
        <v>17.5</v>
      </c>
    </row>
    <row r="1765" ht="12.75">
      <c r="X1765" s="2">
        <v>17.51</v>
      </c>
    </row>
    <row r="1766" ht="12.75">
      <c r="X1766" s="2">
        <v>17.52</v>
      </c>
    </row>
    <row r="1767" ht="12.75">
      <c r="X1767" s="2">
        <v>17.53</v>
      </c>
    </row>
    <row r="1768" ht="12.75">
      <c r="X1768" s="2">
        <v>17.54</v>
      </c>
    </row>
    <row r="1769" ht="12.75">
      <c r="X1769" s="2">
        <v>17.55</v>
      </c>
    </row>
    <row r="1770" ht="12.75">
      <c r="X1770" s="2">
        <v>17.56</v>
      </c>
    </row>
    <row r="1771" ht="12.75">
      <c r="X1771" s="2">
        <v>17.57</v>
      </c>
    </row>
    <row r="1772" ht="12.75">
      <c r="X1772" s="2">
        <v>17.58</v>
      </c>
    </row>
    <row r="1773" ht="12.75">
      <c r="X1773" s="2">
        <v>17.59</v>
      </c>
    </row>
    <row r="1774" ht="12.75">
      <c r="X1774" s="2">
        <v>17.6</v>
      </c>
    </row>
    <row r="1775" ht="12.75">
      <c r="X1775" s="2">
        <v>17.61</v>
      </c>
    </row>
    <row r="1776" ht="12.75">
      <c r="X1776" s="2">
        <v>17.62</v>
      </c>
    </row>
    <row r="1777" ht="12.75">
      <c r="X1777" s="2">
        <v>17.63</v>
      </c>
    </row>
    <row r="1778" ht="12.75">
      <c r="X1778" s="2">
        <v>17.64</v>
      </c>
    </row>
    <row r="1779" ht="12.75">
      <c r="X1779" s="2">
        <v>17.65</v>
      </c>
    </row>
    <row r="1780" ht="12.75">
      <c r="X1780" s="2">
        <v>17.66</v>
      </c>
    </row>
    <row r="1781" ht="12.75">
      <c r="X1781" s="2">
        <v>17.67</v>
      </c>
    </row>
    <row r="1782" ht="12.75">
      <c r="X1782" s="2">
        <v>17.68</v>
      </c>
    </row>
    <row r="1783" ht="12.75">
      <c r="X1783" s="2">
        <v>17.69</v>
      </c>
    </row>
    <row r="1784" ht="12.75">
      <c r="X1784" s="2">
        <v>17.7</v>
      </c>
    </row>
    <row r="1785" ht="12.75">
      <c r="X1785" s="2">
        <v>17.71</v>
      </c>
    </row>
    <row r="1786" ht="12.75">
      <c r="X1786" s="2">
        <v>17.72</v>
      </c>
    </row>
    <row r="1787" ht="12.75">
      <c r="X1787" s="2">
        <v>17.73</v>
      </c>
    </row>
    <row r="1788" ht="12.75">
      <c r="X1788" s="2">
        <v>17.74</v>
      </c>
    </row>
    <row r="1789" ht="12.75">
      <c r="X1789" s="2">
        <v>17.75</v>
      </c>
    </row>
    <row r="1790" ht="12.75">
      <c r="X1790" s="2">
        <v>17.76</v>
      </c>
    </row>
    <row r="1791" ht="12.75">
      <c r="X1791" s="2">
        <v>17.77</v>
      </c>
    </row>
    <row r="1792" ht="12.75">
      <c r="X1792" s="2">
        <v>17.78</v>
      </c>
    </row>
    <row r="1793" ht="12.75">
      <c r="X1793" s="2">
        <v>17.79</v>
      </c>
    </row>
    <row r="1794" ht="12.75">
      <c r="X1794" s="2">
        <v>17.8</v>
      </c>
    </row>
    <row r="1795" ht="12.75">
      <c r="X1795" s="2">
        <v>17.81</v>
      </c>
    </row>
    <row r="1796" ht="12.75">
      <c r="X1796" s="2">
        <v>17.82</v>
      </c>
    </row>
    <row r="1797" ht="12.75">
      <c r="X1797" s="2">
        <v>17.83</v>
      </c>
    </row>
    <row r="1798" ht="12.75">
      <c r="X1798" s="2">
        <v>17.84</v>
      </c>
    </row>
    <row r="1799" ht="12.75">
      <c r="X1799" s="2">
        <v>17.85</v>
      </c>
    </row>
    <row r="1800" ht="12.75">
      <c r="X1800" s="2">
        <v>17.86</v>
      </c>
    </row>
    <row r="1801" ht="12.75">
      <c r="X1801" s="2">
        <v>17.87</v>
      </c>
    </row>
    <row r="1802" ht="12.75">
      <c r="X1802" s="2">
        <v>17.88</v>
      </c>
    </row>
    <row r="1803" ht="12.75">
      <c r="X1803" s="2">
        <v>17.89</v>
      </c>
    </row>
    <row r="1804" ht="12.75">
      <c r="X1804" s="2">
        <v>17.9</v>
      </c>
    </row>
    <row r="1805" ht="12.75">
      <c r="X1805" s="2">
        <v>17.91</v>
      </c>
    </row>
    <row r="1806" ht="12.75">
      <c r="X1806" s="2">
        <v>17.92</v>
      </c>
    </row>
    <row r="1807" ht="12.75">
      <c r="X1807" s="2">
        <v>17.93</v>
      </c>
    </row>
    <row r="1808" ht="12.75">
      <c r="X1808" s="2">
        <v>17.94</v>
      </c>
    </row>
    <row r="1809" ht="12.75">
      <c r="X1809" s="2">
        <v>17.95</v>
      </c>
    </row>
    <row r="1810" ht="12.75">
      <c r="X1810" s="2">
        <v>17.96</v>
      </c>
    </row>
    <row r="1811" ht="12.75">
      <c r="X1811" s="2">
        <v>17.97</v>
      </c>
    </row>
    <row r="1812" ht="12.75">
      <c r="X1812" s="2">
        <v>17.98</v>
      </c>
    </row>
    <row r="1813" ht="12.75">
      <c r="X1813" s="2">
        <v>17.99</v>
      </c>
    </row>
    <row r="1814" ht="12.75">
      <c r="X1814" s="2">
        <v>18</v>
      </c>
    </row>
    <row r="1815" ht="12.75">
      <c r="X1815" s="2">
        <v>18.01</v>
      </c>
    </row>
    <row r="1816" ht="12.75">
      <c r="X1816" s="2">
        <v>18.02</v>
      </c>
    </row>
    <row r="1817" ht="12.75">
      <c r="X1817" s="2">
        <v>18.03</v>
      </c>
    </row>
    <row r="1818" ht="12.75">
      <c r="X1818" s="2">
        <v>18.04</v>
      </c>
    </row>
    <row r="1819" ht="12.75">
      <c r="X1819" s="2">
        <v>18.05</v>
      </c>
    </row>
    <row r="1820" ht="12.75">
      <c r="X1820" s="2">
        <v>18.06</v>
      </c>
    </row>
    <row r="1821" ht="12.75">
      <c r="X1821" s="2">
        <v>18.07</v>
      </c>
    </row>
    <row r="1822" ht="12.75">
      <c r="X1822" s="2">
        <v>18.08</v>
      </c>
    </row>
    <row r="1823" ht="12.75">
      <c r="X1823" s="2">
        <v>18.09</v>
      </c>
    </row>
    <row r="1824" ht="12.75">
      <c r="X1824" s="2">
        <v>18.1</v>
      </c>
    </row>
    <row r="1825" ht="12.75">
      <c r="X1825" s="2">
        <v>18.11</v>
      </c>
    </row>
    <row r="1826" ht="12.75">
      <c r="X1826" s="2">
        <v>18.12</v>
      </c>
    </row>
    <row r="1827" ht="12.75">
      <c r="X1827" s="2">
        <v>18.13</v>
      </c>
    </row>
    <row r="1828" ht="12.75">
      <c r="X1828" s="2">
        <v>18.14</v>
      </c>
    </row>
    <row r="1829" ht="12.75">
      <c r="X1829" s="2">
        <v>18.15</v>
      </c>
    </row>
    <row r="1830" ht="12.75">
      <c r="X1830" s="2">
        <v>18.16</v>
      </c>
    </row>
    <row r="1831" ht="12.75">
      <c r="X1831" s="2">
        <v>18.17</v>
      </c>
    </row>
    <row r="1832" ht="12.75">
      <c r="X1832" s="2">
        <v>18.18</v>
      </c>
    </row>
    <row r="1833" ht="12.75">
      <c r="X1833" s="2">
        <v>18.19</v>
      </c>
    </row>
    <row r="1834" ht="12.75">
      <c r="X1834" s="2">
        <v>18.2</v>
      </c>
    </row>
    <row r="1835" ht="12.75">
      <c r="X1835" s="2">
        <v>18.21</v>
      </c>
    </row>
    <row r="1836" ht="12.75">
      <c r="X1836" s="2">
        <v>18.22</v>
      </c>
    </row>
    <row r="1837" ht="12.75">
      <c r="X1837" s="2">
        <v>18.23</v>
      </c>
    </row>
    <row r="1838" ht="12.75">
      <c r="X1838" s="2">
        <v>18.24</v>
      </c>
    </row>
    <row r="1839" ht="12.75">
      <c r="X1839" s="2">
        <v>18.25</v>
      </c>
    </row>
    <row r="1840" ht="12.75">
      <c r="X1840" s="2">
        <v>18.26</v>
      </c>
    </row>
    <row r="1841" ht="12.75">
      <c r="X1841" s="2">
        <v>18.27</v>
      </c>
    </row>
    <row r="1842" ht="12.75">
      <c r="X1842" s="2">
        <v>18.28</v>
      </c>
    </row>
    <row r="1843" ht="12.75">
      <c r="X1843" s="2">
        <v>18.29</v>
      </c>
    </row>
    <row r="1844" ht="12.75">
      <c r="X1844" s="2">
        <v>18.3</v>
      </c>
    </row>
    <row r="1845" ht="12.75">
      <c r="X1845" s="2">
        <v>18.31</v>
      </c>
    </row>
    <row r="1846" ht="12.75">
      <c r="X1846" s="2">
        <v>18.32</v>
      </c>
    </row>
    <row r="1847" ht="12.75">
      <c r="X1847" s="2">
        <v>18.33</v>
      </c>
    </row>
    <row r="1848" ht="12.75">
      <c r="X1848" s="2">
        <v>18.34</v>
      </c>
    </row>
    <row r="1849" ht="12.75">
      <c r="X1849" s="2">
        <v>18.35</v>
      </c>
    </row>
    <row r="1850" ht="12.75">
      <c r="X1850" s="2">
        <v>18.36</v>
      </c>
    </row>
    <row r="1851" ht="12.75">
      <c r="X1851" s="2">
        <v>18.37</v>
      </c>
    </row>
    <row r="1852" ht="12.75">
      <c r="X1852" s="2">
        <v>18.38</v>
      </c>
    </row>
    <row r="1853" ht="12.75">
      <c r="X1853" s="2">
        <v>18.39</v>
      </c>
    </row>
    <row r="1854" ht="12.75">
      <c r="X1854" s="2">
        <v>18.4</v>
      </c>
    </row>
    <row r="1855" ht="12.75">
      <c r="X1855" s="2">
        <v>18.41</v>
      </c>
    </row>
    <row r="1856" ht="12.75">
      <c r="X1856" s="2">
        <v>18.42</v>
      </c>
    </row>
    <row r="1857" ht="12.75">
      <c r="X1857" s="2">
        <v>18.43</v>
      </c>
    </row>
    <row r="1858" ht="12.75">
      <c r="X1858" s="2">
        <v>18.44</v>
      </c>
    </row>
    <row r="1859" ht="12.75">
      <c r="X1859" s="2">
        <v>18.45</v>
      </c>
    </row>
    <row r="1860" ht="12.75">
      <c r="X1860" s="2">
        <v>18.46</v>
      </c>
    </row>
    <row r="1861" ht="12.75">
      <c r="X1861" s="2">
        <v>18.47</v>
      </c>
    </row>
    <row r="1862" ht="12.75">
      <c r="X1862" s="2">
        <v>18.48</v>
      </c>
    </row>
    <row r="1863" ht="12.75">
      <c r="X1863" s="2">
        <v>18.49</v>
      </c>
    </row>
    <row r="1864" ht="12.75">
      <c r="X1864" s="2">
        <v>18.5</v>
      </c>
    </row>
    <row r="1865" ht="12.75">
      <c r="X1865" s="2">
        <v>18.51</v>
      </c>
    </row>
    <row r="1866" ht="12.75">
      <c r="X1866" s="2">
        <v>18.52</v>
      </c>
    </row>
    <row r="1867" ht="12.75">
      <c r="X1867" s="2">
        <v>18.53</v>
      </c>
    </row>
    <row r="1868" ht="12.75">
      <c r="X1868" s="2">
        <v>18.54</v>
      </c>
    </row>
    <row r="1869" ht="12.75">
      <c r="X1869" s="2">
        <v>18.55</v>
      </c>
    </row>
    <row r="1870" ht="12.75">
      <c r="X1870" s="2">
        <v>18.56</v>
      </c>
    </row>
    <row r="1871" ht="12.75">
      <c r="X1871" s="2">
        <v>18.57</v>
      </c>
    </row>
    <row r="1872" ht="12.75">
      <c r="X1872" s="2">
        <v>18.58</v>
      </c>
    </row>
    <row r="1873" ht="12.75">
      <c r="X1873" s="2">
        <v>18.59</v>
      </c>
    </row>
    <row r="1874" ht="12.75">
      <c r="X1874" s="2">
        <v>18.6</v>
      </c>
    </row>
    <row r="1875" ht="12.75">
      <c r="X1875" s="2">
        <v>18.61</v>
      </c>
    </row>
    <row r="1876" ht="12.75">
      <c r="X1876" s="2">
        <v>18.62</v>
      </c>
    </row>
    <row r="1877" ht="12.75">
      <c r="X1877" s="2">
        <v>18.63</v>
      </c>
    </row>
    <row r="1878" ht="12.75">
      <c r="X1878" s="2">
        <v>18.64</v>
      </c>
    </row>
    <row r="1879" ht="12.75">
      <c r="X1879" s="2">
        <v>18.65</v>
      </c>
    </row>
    <row r="1880" ht="12.75">
      <c r="X1880" s="2">
        <v>18.66</v>
      </c>
    </row>
    <row r="1881" ht="12.75">
      <c r="X1881" s="2">
        <v>18.67</v>
      </c>
    </row>
    <row r="1882" ht="12.75">
      <c r="X1882" s="2">
        <v>18.68</v>
      </c>
    </row>
    <row r="1883" ht="12.75">
      <c r="X1883" s="2">
        <v>18.69</v>
      </c>
    </row>
    <row r="1884" ht="12.75">
      <c r="X1884" s="2">
        <v>18.7</v>
      </c>
    </row>
    <row r="1885" ht="12.75">
      <c r="X1885" s="2">
        <v>18.71</v>
      </c>
    </row>
    <row r="1886" ht="12.75">
      <c r="X1886" s="2">
        <v>18.72</v>
      </c>
    </row>
    <row r="1887" ht="12.75">
      <c r="X1887" s="2">
        <v>18.73</v>
      </c>
    </row>
    <row r="1888" ht="12.75">
      <c r="X1888" s="2">
        <v>18.74</v>
      </c>
    </row>
    <row r="1889" ht="12.75">
      <c r="X1889" s="2">
        <v>18.75</v>
      </c>
    </row>
    <row r="1890" ht="12.75">
      <c r="X1890" s="2">
        <v>18.76</v>
      </c>
    </row>
    <row r="1891" ht="12.75">
      <c r="X1891" s="2">
        <v>18.77</v>
      </c>
    </row>
    <row r="1892" ht="12.75">
      <c r="X1892" s="2">
        <v>18.78</v>
      </c>
    </row>
    <row r="1893" ht="12.75">
      <c r="X1893" s="2">
        <v>18.79</v>
      </c>
    </row>
    <row r="1894" ht="12.75">
      <c r="X1894" s="2">
        <v>18.8</v>
      </c>
    </row>
    <row r="1895" ht="12.75">
      <c r="X1895" s="2">
        <v>18.81</v>
      </c>
    </row>
    <row r="1896" ht="12.75">
      <c r="X1896" s="2">
        <v>18.82</v>
      </c>
    </row>
    <row r="1897" ht="12.75">
      <c r="X1897" s="2">
        <v>18.83</v>
      </c>
    </row>
    <row r="1898" ht="12.75">
      <c r="X1898" s="2">
        <v>18.84</v>
      </c>
    </row>
    <row r="1899" ht="12.75">
      <c r="X1899" s="2">
        <v>18.85</v>
      </c>
    </row>
    <row r="1900" ht="12.75">
      <c r="X1900" s="2">
        <v>18.86</v>
      </c>
    </row>
    <row r="1901" ht="12.75">
      <c r="X1901" s="2">
        <v>18.87</v>
      </c>
    </row>
    <row r="1902" ht="12.75">
      <c r="X1902" s="2">
        <v>18.88</v>
      </c>
    </row>
    <row r="1903" ht="12.75">
      <c r="X1903" s="2">
        <v>18.89</v>
      </c>
    </row>
    <row r="1904" ht="12.75">
      <c r="X1904" s="2">
        <v>18.9</v>
      </c>
    </row>
    <row r="1905" ht="12.75">
      <c r="X1905" s="2">
        <v>18.91</v>
      </c>
    </row>
    <row r="1906" ht="12.75">
      <c r="X1906" s="2">
        <v>18.92</v>
      </c>
    </row>
    <row r="1907" ht="12.75">
      <c r="X1907" s="2">
        <v>18.93</v>
      </c>
    </row>
    <row r="1908" ht="12.75">
      <c r="X1908" s="2">
        <v>18.94</v>
      </c>
    </row>
    <row r="1909" ht="12.75">
      <c r="X1909" s="2">
        <v>18.95</v>
      </c>
    </row>
    <row r="1910" ht="12.75">
      <c r="X1910" s="2">
        <v>18.96</v>
      </c>
    </row>
    <row r="1911" ht="12.75">
      <c r="X1911" s="2">
        <v>18.97</v>
      </c>
    </row>
    <row r="1912" ht="12.75">
      <c r="X1912" s="2">
        <v>18.98</v>
      </c>
    </row>
    <row r="1913" ht="12.75">
      <c r="X1913" s="2">
        <v>18.99</v>
      </c>
    </row>
    <row r="1914" ht="12.75">
      <c r="X1914" s="2">
        <v>19</v>
      </c>
    </row>
    <row r="1915" ht="12.75">
      <c r="X1915" s="2">
        <v>19.01</v>
      </c>
    </row>
    <row r="1916" ht="12.75">
      <c r="X1916" s="2">
        <v>19.02</v>
      </c>
    </row>
    <row r="1917" ht="12.75">
      <c r="X1917" s="2">
        <v>19.03</v>
      </c>
    </row>
    <row r="1918" ht="12.75">
      <c r="X1918" s="2">
        <v>19.04</v>
      </c>
    </row>
    <row r="1919" ht="12.75">
      <c r="X1919" s="2">
        <v>19.05</v>
      </c>
    </row>
    <row r="1920" ht="12.75">
      <c r="X1920" s="2">
        <v>19.06</v>
      </c>
    </row>
    <row r="1921" ht="12.75">
      <c r="X1921" s="2">
        <v>19.07</v>
      </c>
    </row>
    <row r="1922" ht="12.75">
      <c r="X1922" s="2">
        <v>19.08</v>
      </c>
    </row>
    <row r="1923" ht="12.75">
      <c r="X1923" s="2">
        <v>19.09</v>
      </c>
    </row>
    <row r="1924" ht="12.75">
      <c r="X1924" s="2">
        <v>19.1</v>
      </c>
    </row>
    <row r="1925" ht="12.75">
      <c r="X1925" s="2">
        <v>19.11</v>
      </c>
    </row>
    <row r="1926" ht="12.75">
      <c r="X1926" s="2">
        <v>19.12</v>
      </c>
    </row>
    <row r="1927" ht="12.75">
      <c r="X1927" s="2">
        <v>19.13</v>
      </c>
    </row>
    <row r="1928" ht="12.75">
      <c r="X1928" s="2">
        <v>19.14</v>
      </c>
    </row>
    <row r="1929" ht="12.75">
      <c r="X1929" s="2">
        <v>19.15</v>
      </c>
    </row>
    <row r="1930" ht="12.75">
      <c r="X1930" s="2">
        <v>19.16</v>
      </c>
    </row>
    <row r="1931" ht="12.75">
      <c r="X1931" s="2">
        <v>19.17</v>
      </c>
    </row>
    <row r="1932" ht="12.75">
      <c r="X1932" s="2">
        <v>19.18</v>
      </c>
    </row>
    <row r="1933" ht="12.75">
      <c r="X1933" s="2">
        <v>19.19</v>
      </c>
    </row>
    <row r="1934" ht="12.75">
      <c r="X1934" s="2">
        <v>19.2</v>
      </c>
    </row>
    <row r="1935" ht="12.75">
      <c r="X1935" s="2">
        <v>19.21</v>
      </c>
    </row>
    <row r="1936" ht="12.75">
      <c r="X1936" s="2">
        <v>19.22</v>
      </c>
    </row>
    <row r="1937" ht="12.75">
      <c r="X1937" s="2">
        <v>19.23</v>
      </c>
    </row>
    <row r="1938" ht="12.75">
      <c r="X1938" s="2">
        <v>19.24</v>
      </c>
    </row>
    <row r="1939" ht="12.75">
      <c r="X1939" s="2">
        <v>19.25</v>
      </c>
    </row>
    <row r="1940" ht="12.75">
      <c r="X1940" s="2">
        <v>19.26</v>
      </c>
    </row>
    <row r="1941" ht="12.75">
      <c r="X1941" s="2">
        <v>19.27</v>
      </c>
    </row>
    <row r="1942" ht="12.75">
      <c r="X1942" s="2">
        <v>19.28</v>
      </c>
    </row>
    <row r="1943" ht="12.75">
      <c r="X1943" s="2">
        <v>19.29</v>
      </c>
    </row>
    <row r="1944" ht="12.75">
      <c r="X1944" s="2">
        <v>19.3</v>
      </c>
    </row>
    <row r="1945" ht="12.75">
      <c r="X1945" s="2">
        <v>19.31</v>
      </c>
    </row>
    <row r="1946" ht="12.75">
      <c r="X1946" s="2">
        <v>19.32</v>
      </c>
    </row>
    <row r="1947" ht="12.75">
      <c r="X1947" s="2">
        <v>19.33</v>
      </c>
    </row>
    <row r="1948" ht="12.75">
      <c r="X1948" s="2">
        <v>19.34</v>
      </c>
    </row>
    <row r="1949" ht="12.75">
      <c r="X1949" s="2">
        <v>19.35</v>
      </c>
    </row>
    <row r="1950" ht="12.75">
      <c r="X1950" s="2">
        <v>19.36</v>
      </c>
    </row>
    <row r="1951" ht="12.75">
      <c r="X1951" s="2">
        <v>19.37</v>
      </c>
    </row>
    <row r="1952" ht="12.75">
      <c r="X1952" s="2">
        <v>19.38</v>
      </c>
    </row>
    <row r="1953" ht="12.75">
      <c r="X1953" s="2">
        <v>19.39</v>
      </c>
    </row>
    <row r="1954" ht="12.75">
      <c r="X1954" s="2">
        <v>19.4</v>
      </c>
    </row>
    <row r="1955" ht="12.75">
      <c r="X1955" s="2">
        <v>19.41</v>
      </c>
    </row>
    <row r="1956" ht="12.75">
      <c r="X1956" s="2">
        <v>19.42</v>
      </c>
    </row>
    <row r="1957" ht="12.75">
      <c r="X1957" s="2">
        <v>19.43</v>
      </c>
    </row>
    <row r="1958" ht="12.75">
      <c r="X1958" s="2">
        <v>19.44</v>
      </c>
    </row>
    <row r="1959" ht="12.75">
      <c r="X1959" s="2">
        <v>19.45</v>
      </c>
    </row>
    <row r="1960" ht="12.75">
      <c r="X1960" s="2">
        <v>19.46</v>
      </c>
    </row>
    <row r="1961" ht="12.75">
      <c r="X1961" s="2">
        <v>19.47</v>
      </c>
    </row>
    <row r="1962" ht="12.75">
      <c r="X1962" s="2">
        <v>19.48</v>
      </c>
    </row>
    <row r="1963" ht="12.75">
      <c r="X1963" s="2">
        <v>19.49</v>
      </c>
    </row>
    <row r="1964" ht="12.75">
      <c r="X1964" s="2">
        <v>19.5</v>
      </c>
    </row>
    <row r="1965" ht="12.75">
      <c r="X1965" s="2">
        <v>19.51</v>
      </c>
    </row>
    <row r="1966" ht="12.75">
      <c r="X1966" s="2">
        <v>19.52</v>
      </c>
    </row>
    <row r="1967" ht="12.75">
      <c r="X1967" s="2">
        <v>19.53</v>
      </c>
    </row>
    <row r="1968" ht="12.75">
      <c r="X1968" s="2">
        <v>19.54</v>
      </c>
    </row>
    <row r="1969" ht="12.75">
      <c r="X1969" s="2">
        <v>19.55</v>
      </c>
    </row>
    <row r="1970" ht="12.75">
      <c r="X1970" s="2">
        <v>19.56</v>
      </c>
    </row>
    <row r="1971" ht="12.75">
      <c r="X1971" s="2">
        <v>19.57</v>
      </c>
    </row>
    <row r="1972" ht="12.75">
      <c r="X1972" s="2">
        <v>19.58</v>
      </c>
    </row>
    <row r="1973" ht="12.75">
      <c r="X1973" s="2">
        <v>19.59</v>
      </c>
    </row>
    <row r="1974" ht="12.75">
      <c r="X1974" s="2">
        <v>19.6</v>
      </c>
    </row>
    <row r="1975" ht="12.75">
      <c r="X1975" s="2">
        <v>19.61</v>
      </c>
    </row>
    <row r="1976" ht="12.75">
      <c r="X1976" s="2">
        <v>19.62</v>
      </c>
    </row>
    <row r="1977" ht="12.75">
      <c r="X1977" s="2">
        <v>19.63</v>
      </c>
    </row>
    <row r="1978" ht="12.75">
      <c r="X1978" s="2">
        <v>19.64</v>
      </c>
    </row>
    <row r="1979" ht="12.75">
      <c r="X1979" s="2">
        <v>19.65</v>
      </c>
    </row>
    <row r="1980" ht="12.75">
      <c r="X1980" s="2">
        <v>19.66</v>
      </c>
    </row>
    <row r="1981" ht="12.75">
      <c r="X1981" s="2">
        <v>19.67</v>
      </c>
    </row>
    <row r="1982" ht="12.75">
      <c r="X1982" s="2">
        <v>19.68</v>
      </c>
    </row>
    <row r="1983" ht="12.75">
      <c r="X1983" s="2">
        <v>19.69</v>
      </c>
    </row>
    <row r="1984" ht="12.75">
      <c r="X1984" s="2">
        <v>19.7</v>
      </c>
    </row>
    <row r="1985" ht="12.75">
      <c r="X1985" s="2">
        <v>19.71</v>
      </c>
    </row>
    <row r="1986" ht="12.75">
      <c r="X1986" s="2">
        <v>19.72</v>
      </c>
    </row>
    <row r="1987" ht="12.75">
      <c r="X1987" s="2">
        <v>19.73</v>
      </c>
    </row>
    <row r="1988" ht="12.75">
      <c r="X1988" s="2">
        <v>19.74</v>
      </c>
    </row>
    <row r="1989" ht="12.75">
      <c r="X1989" s="2">
        <v>19.75</v>
      </c>
    </row>
    <row r="1990" ht="12.75">
      <c r="X1990" s="2">
        <v>19.76</v>
      </c>
    </row>
    <row r="1991" ht="12.75">
      <c r="X1991" s="2">
        <v>19.77</v>
      </c>
    </row>
    <row r="1992" ht="12.75">
      <c r="X1992" s="2">
        <v>19.78</v>
      </c>
    </row>
    <row r="1993" ht="12.75">
      <c r="X1993" s="2">
        <v>19.79</v>
      </c>
    </row>
    <row r="1994" ht="12.75">
      <c r="X1994" s="2">
        <v>19.8</v>
      </c>
    </row>
    <row r="1995" ht="12.75">
      <c r="X1995" s="2">
        <v>19.81</v>
      </c>
    </row>
    <row r="1996" ht="12.75">
      <c r="X1996" s="2">
        <v>19.82</v>
      </c>
    </row>
    <row r="1997" ht="12.75">
      <c r="X1997" s="2">
        <v>19.83</v>
      </c>
    </row>
    <row r="1998" ht="12.75">
      <c r="X1998" s="2">
        <v>19.84</v>
      </c>
    </row>
    <row r="1999" ht="12.75">
      <c r="X1999" s="2">
        <v>19.85</v>
      </c>
    </row>
    <row r="2000" ht="12.75">
      <c r="X2000" s="2">
        <v>19.86</v>
      </c>
    </row>
    <row r="2001" ht="12.75">
      <c r="X2001" s="2">
        <v>19.87</v>
      </c>
    </row>
    <row r="2002" ht="12.75">
      <c r="X2002" s="2">
        <v>19.88</v>
      </c>
    </row>
    <row r="2003" ht="12.75">
      <c r="X2003" s="2">
        <v>19.89</v>
      </c>
    </row>
    <row r="2004" ht="12.75">
      <c r="X2004" s="2">
        <v>19.9</v>
      </c>
    </row>
    <row r="2005" ht="12.75">
      <c r="X2005" s="2">
        <v>19.91</v>
      </c>
    </row>
    <row r="2006" ht="12.75">
      <c r="X2006" s="2">
        <v>19.92</v>
      </c>
    </row>
    <row r="2007" ht="12.75">
      <c r="X2007" s="2">
        <v>19.93</v>
      </c>
    </row>
    <row r="2008" ht="12.75">
      <c r="X2008" s="2">
        <v>19.94</v>
      </c>
    </row>
    <row r="2009" ht="12.75">
      <c r="X2009" s="2">
        <v>19.95</v>
      </c>
    </row>
    <row r="2010" ht="12.75">
      <c r="X2010" s="2">
        <v>19.96</v>
      </c>
    </row>
    <row r="2011" ht="12.75">
      <c r="X2011" s="2">
        <v>19.97</v>
      </c>
    </row>
    <row r="2012" ht="12.75">
      <c r="X2012" s="2">
        <v>19.98</v>
      </c>
    </row>
    <row r="2013" ht="12.75">
      <c r="X2013" s="2">
        <v>19.99</v>
      </c>
    </row>
    <row r="2014" ht="12.75">
      <c r="X2014" s="2">
        <v>20</v>
      </c>
    </row>
  </sheetData>
  <sheetProtection password="DF32" sheet="1" scenarios="1" selectLockedCells="1" selectUnlockedCells="1"/>
  <protectedRanges>
    <protectedRange sqref="C7:D11" name="Eingabe_2"/>
  </protectedRange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AD287"/>
  <sheetViews>
    <sheetView showGridLines="0" tabSelected="1" workbookViewId="0" topLeftCell="A1">
      <pane xSplit="3" ySplit="12" topLeftCell="D13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IV12"/>
    </sheetView>
  </sheetViews>
  <sheetFormatPr defaultColWidth="11.421875" defaultRowHeight="12.75"/>
  <cols>
    <col min="1" max="1" width="6.7109375" style="165" bestFit="1" customWidth="1"/>
    <col min="2" max="2" width="10.28125" style="165" bestFit="1" customWidth="1"/>
    <col min="3" max="3" width="8.28125" style="9" customWidth="1"/>
    <col min="4" max="4" width="10.28125" style="166" customWidth="1"/>
    <col min="5" max="5" width="11.00390625" style="168" customWidth="1"/>
    <col min="6" max="6" width="10.57421875" style="168" customWidth="1"/>
    <col min="7" max="7" width="12.00390625" style="168" customWidth="1"/>
    <col min="8" max="8" width="13.57421875" style="168" customWidth="1"/>
    <col min="9" max="9" width="12.00390625" style="168" customWidth="1"/>
    <col min="10" max="10" width="11.00390625" style="168" customWidth="1"/>
    <col min="11" max="11" width="9.8515625" style="168" customWidth="1"/>
    <col min="12" max="12" width="9.140625" style="168" customWidth="1"/>
    <col min="13" max="13" width="11.8515625" style="168" customWidth="1"/>
    <col min="14" max="14" width="9.421875" style="168" customWidth="1"/>
    <col min="15" max="15" width="12.421875" style="168" customWidth="1"/>
    <col min="16" max="16" width="9.8515625" style="168" customWidth="1"/>
    <col min="17" max="17" width="9.57421875" style="168" customWidth="1"/>
    <col min="18" max="18" width="8.7109375" style="168" customWidth="1"/>
    <col min="19" max="19" width="8.140625" style="168" customWidth="1"/>
    <col min="20" max="20" width="6.8515625" style="168" customWidth="1"/>
    <col min="21" max="21" width="9.28125" style="168" customWidth="1"/>
    <col min="22" max="22" width="7.8515625" style="168" customWidth="1"/>
    <col min="23" max="23" width="11.00390625" style="168" customWidth="1"/>
    <col min="24" max="24" width="10.28125" style="168" customWidth="1"/>
    <col min="25" max="25" width="8.28125" style="168" customWidth="1"/>
    <col min="26" max="26" width="9.57421875" style="168" customWidth="1"/>
    <col min="27" max="27" width="10.7109375" style="168" customWidth="1"/>
    <col min="28" max="28" width="8.7109375" style="168" customWidth="1"/>
    <col min="29" max="29" width="9.57421875" style="168" customWidth="1"/>
    <col min="30" max="31" width="10.28125" style="168" customWidth="1"/>
    <col min="32" max="32" width="12.28125" style="168" customWidth="1"/>
    <col min="33" max="33" width="10.00390625" style="168" customWidth="1"/>
    <col min="34" max="34" width="11.28125" style="168" customWidth="1"/>
    <col min="35" max="35" width="10.140625" style="168" customWidth="1"/>
    <col min="36" max="36" width="9.28125" style="168" customWidth="1"/>
    <col min="37" max="37" width="11.00390625" style="168" customWidth="1"/>
    <col min="38" max="38" width="10.140625" style="168" customWidth="1"/>
    <col min="39" max="39" width="19.421875" style="168" bestFit="1" customWidth="1"/>
    <col min="40" max="16384" width="11.421875" style="168" customWidth="1"/>
  </cols>
  <sheetData>
    <row r="1" spans="4:6" s="139" customFormat="1" ht="12.75">
      <c r="D1" s="140"/>
      <c r="E1" s="140"/>
      <c r="F1" s="140"/>
    </row>
    <row r="2" spans="4:6" s="139" customFormat="1" ht="12.75">
      <c r="D2" s="140"/>
      <c r="E2" s="140"/>
      <c r="F2" s="140"/>
    </row>
    <row r="3" spans="4:6" s="139" customFormat="1" ht="12.75">
      <c r="D3" s="140"/>
      <c r="E3" s="140"/>
      <c r="F3" s="140"/>
    </row>
    <row r="4" spans="4:6" s="139" customFormat="1" ht="12.75">
      <c r="D4" s="140"/>
      <c r="E4" s="140"/>
      <c r="F4" s="140"/>
    </row>
    <row r="5" spans="4:6" s="139" customFormat="1" ht="12.75">
      <c r="D5" s="140"/>
      <c r="E5" s="140"/>
      <c r="F5" s="140"/>
    </row>
    <row r="6" spans="4:6" s="139" customFormat="1" ht="12.75">
      <c r="D6" s="140"/>
      <c r="E6" s="140"/>
      <c r="F6" s="140"/>
    </row>
    <row r="7" spans="4:6" s="139" customFormat="1" ht="12.75">
      <c r="D7" s="140"/>
      <c r="E7" s="140"/>
      <c r="F7" s="140"/>
    </row>
    <row r="8" spans="4:6" s="139" customFormat="1" ht="12.75">
      <c r="D8" s="140"/>
      <c r="E8" s="140"/>
      <c r="F8" s="140"/>
    </row>
    <row r="9" spans="4:6" s="139" customFormat="1" ht="12.75">
      <c r="D9" s="140"/>
      <c r="E9" s="140"/>
      <c r="F9" s="140"/>
    </row>
    <row r="10" spans="4:6" s="139" customFormat="1" ht="12.75">
      <c r="D10" s="140"/>
      <c r="E10" s="140"/>
      <c r="F10" s="140"/>
    </row>
    <row r="11" spans="1:29" ht="12.75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  <c r="H11">
        <v>8</v>
      </c>
      <c r="I11">
        <v>9</v>
      </c>
      <c r="J11">
        <v>10</v>
      </c>
      <c r="K11">
        <v>11</v>
      </c>
      <c r="L11">
        <v>16</v>
      </c>
      <c r="M11">
        <v>17</v>
      </c>
      <c r="N11">
        <v>18</v>
      </c>
      <c r="O11">
        <v>19</v>
      </c>
      <c r="P11">
        <v>21</v>
      </c>
      <c r="Q11">
        <v>23</v>
      </c>
      <c r="R11">
        <v>24</v>
      </c>
      <c r="S11">
        <v>25</v>
      </c>
      <c r="T11">
        <v>26</v>
      </c>
      <c r="U11">
        <v>27</v>
      </c>
      <c r="V11">
        <v>28</v>
      </c>
      <c r="W11">
        <v>29</v>
      </c>
      <c r="X11">
        <v>30</v>
      </c>
      <c r="Y11">
        <v>31</v>
      </c>
      <c r="Z11">
        <v>32</v>
      </c>
      <c r="AA11">
        <v>33</v>
      </c>
      <c r="AB11">
        <v>34</v>
      </c>
      <c r="AC11">
        <v>35</v>
      </c>
    </row>
    <row r="12" spans="1:30" s="15" customFormat="1" ht="53.25" customHeight="1">
      <c r="A12" s="51" t="s">
        <v>3</v>
      </c>
      <c r="B12" s="51" t="s">
        <v>183</v>
      </c>
      <c r="C12" s="51" t="s">
        <v>0</v>
      </c>
      <c r="D12" s="51" t="s">
        <v>170</v>
      </c>
      <c r="E12" s="51" t="s">
        <v>171</v>
      </c>
      <c r="F12" s="51" t="s">
        <v>176</v>
      </c>
      <c r="G12" s="51" t="s">
        <v>38</v>
      </c>
      <c r="H12" s="51" t="s">
        <v>169</v>
      </c>
      <c r="I12" s="52" t="s">
        <v>175</v>
      </c>
      <c r="J12" s="51" t="s">
        <v>189</v>
      </c>
      <c r="K12" s="51" t="s">
        <v>188</v>
      </c>
      <c r="L12" s="51" t="s">
        <v>191</v>
      </c>
      <c r="M12" s="51" t="s">
        <v>44</v>
      </c>
      <c r="N12" s="51" t="s">
        <v>18</v>
      </c>
      <c r="O12" s="51" t="s">
        <v>10</v>
      </c>
      <c r="P12" s="51" t="s">
        <v>82</v>
      </c>
      <c r="Q12" s="52" t="s">
        <v>58</v>
      </c>
      <c r="R12" s="51" t="s">
        <v>63</v>
      </c>
      <c r="S12" s="51" t="s">
        <v>81</v>
      </c>
      <c r="T12" s="51" t="s">
        <v>21</v>
      </c>
      <c r="U12" s="52" t="s">
        <v>61</v>
      </c>
      <c r="V12" s="51" t="s">
        <v>67</v>
      </c>
      <c r="W12" s="51" t="s">
        <v>68</v>
      </c>
      <c r="X12" s="51" t="s">
        <v>64</v>
      </c>
      <c r="Y12" s="51" t="s">
        <v>69</v>
      </c>
      <c r="Z12" s="51" t="s">
        <v>62</v>
      </c>
      <c r="AA12" s="51" t="s">
        <v>70</v>
      </c>
      <c r="AB12" s="51" t="s">
        <v>65</v>
      </c>
      <c r="AC12" s="51" t="s">
        <v>66</v>
      </c>
      <c r="AD12" s="6"/>
    </row>
    <row r="13" spans="1:3" ht="12.75">
      <c r="A13" s="167"/>
      <c r="B13" s="9"/>
      <c r="C13" s="167"/>
    </row>
    <row r="14" spans="1:3" ht="12.75">
      <c r="A14" s="167"/>
      <c r="B14" s="9"/>
      <c r="C14" s="167"/>
    </row>
    <row r="15" spans="1:3" ht="12.75">
      <c r="A15" s="167"/>
      <c r="B15" s="9"/>
      <c r="C15" s="167"/>
    </row>
    <row r="16" spans="1:3" ht="12.75">
      <c r="A16" s="167"/>
      <c r="B16" s="9"/>
      <c r="C16" s="167"/>
    </row>
    <row r="17" spans="1:3" ht="12.75">
      <c r="A17" s="167"/>
      <c r="B17" s="9"/>
      <c r="C17" s="167"/>
    </row>
    <row r="18" spans="1:3" ht="12.75">
      <c r="A18" s="167"/>
      <c r="B18" s="9"/>
      <c r="C18" s="167"/>
    </row>
    <row r="19" spans="1:3" ht="12.75">
      <c r="A19" s="167"/>
      <c r="B19" s="9"/>
      <c r="C19" s="167"/>
    </row>
    <row r="20" spans="1:3" ht="12.75">
      <c r="A20" s="167"/>
      <c r="B20" s="9"/>
      <c r="C20" s="167"/>
    </row>
    <row r="21" spans="1:3" ht="12.75">
      <c r="A21" s="167"/>
      <c r="B21" s="9"/>
      <c r="C21" s="167"/>
    </row>
    <row r="22" spans="1:3" ht="12.75">
      <c r="A22" s="167"/>
      <c r="B22" s="9"/>
      <c r="C22" s="167"/>
    </row>
    <row r="23" spans="1:3" ht="12.75">
      <c r="A23" s="167"/>
      <c r="B23" s="9"/>
      <c r="C23" s="167"/>
    </row>
    <row r="24" spans="1:3" ht="12.75">
      <c r="A24" s="167"/>
      <c r="B24" s="9"/>
      <c r="C24" s="167"/>
    </row>
    <row r="25" spans="1:3" ht="12.75">
      <c r="A25" s="167"/>
      <c r="B25" s="9"/>
      <c r="C25" s="167"/>
    </row>
    <row r="26" spans="1:3" ht="12.75">
      <c r="A26" s="167"/>
      <c r="B26" s="9"/>
      <c r="C26" s="167"/>
    </row>
    <row r="27" spans="1:3" ht="12.75">
      <c r="A27" s="167"/>
      <c r="B27" s="9"/>
      <c r="C27" s="167"/>
    </row>
    <row r="28" spans="1:3" ht="12.75">
      <c r="A28" s="167"/>
      <c r="B28" s="9"/>
      <c r="C28" s="167"/>
    </row>
    <row r="29" spans="1:3" ht="12.75">
      <c r="A29" s="167"/>
      <c r="B29" s="9"/>
      <c r="C29" s="167"/>
    </row>
    <row r="30" spans="1:3" ht="12.75">
      <c r="A30" s="167"/>
      <c r="B30" s="9"/>
      <c r="C30" s="167"/>
    </row>
    <row r="31" spans="1:3" ht="12.75">
      <c r="A31" s="167"/>
      <c r="B31" s="9"/>
      <c r="C31" s="167"/>
    </row>
    <row r="32" spans="1:3" ht="12.75">
      <c r="A32" s="167"/>
      <c r="B32" s="9"/>
      <c r="C32" s="167"/>
    </row>
    <row r="33" spans="1:3" ht="12.75">
      <c r="A33" s="167"/>
      <c r="B33" s="9"/>
      <c r="C33" s="167"/>
    </row>
    <row r="34" spans="1:3" ht="12.75">
      <c r="A34" s="167"/>
      <c r="B34" s="9"/>
      <c r="C34" s="167"/>
    </row>
    <row r="35" spans="1:3" ht="12.75">
      <c r="A35" s="167"/>
      <c r="B35" s="9"/>
      <c r="C35" s="167"/>
    </row>
    <row r="36" spans="1:3" ht="12.75">
      <c r="A36" s="167"/>
      <c r="B36" s="9"/>
      <c r="C36" s="167"/>
    </row>
    <row r="37" spans="1:3" ht="12.75">
      <c r="A37" s="167"/>
      <c r="B37" s="9"/>
      <c r="C37" s="167"/>
    </row>
    <row r="38" spans="1:3" ht="12.75">
      <c r="A38" s="167"/>
      <c r="B38" s="9"/>
      <c r="C38" s="167"/>
    </row>
    <row r="39" spans="1:3" ht="12.75">
      <c r="A39" s="167"/>
      <c r="B39" s="9"/>
      <c r="C39" s="167"/>
    </row>
    <row r="40" spans="1:3" ht="12.75">
      <c r="A40" s="167"/>
      <c r="B40" s="9"/>
      <c r="C40" s="167"/>
    </row>
    <row r="41" spans="1:3" ht="12.75">
      <c r="A41" s="167"/>
      <c r="B41" s="9"/>
      <c r="C41" s="167"/>
    </row>
    <row r="42" spans="1:3" ht="12.75">
      <c r="A42" s="167"/>
      <c r="B42" s="9"/>
      <c r="C42" s="167"/>
    </row>
    <row r="43" spans="1:3" ht="12.75">
      <c r="A43" s="167"/>
      <c r="B43" s="9"/>
      <c r="C43" s="167"/>
    </row>
    <row r="44" spans="1:3" ht="12.75">
      <c r="A44" s="167"/>
      <c r="B44" s="9"/>
      <c r="C44" s="167"/>
    </row>
    <row r="45" spans="1:3" ht="12.75">
      <c r="A45" s="167"/>
      <c r="B45" s="9"/>
      <c r="C45" s="167"/>
    </row>
    <row r="46" spans="1:3" ht="12.75">
      <c r="A46" s="167"/>
      <c r="B46" s="9"/>
      <c r="C46" s="167"/>
    </row>
    <row r="47" spans="1:3" ht="12.75">
      <c r="A47" s="167"/>
      <c r="B47" s="9"/>
      <c r="C47" s="167"/>
    </row>
    <row r="48" spans="1:3" ht="12.75">
      <c r="A48" s="167"/>
      <c r="B48" s="9"/>
      <c r="C48" s="167"/>
    </row>
    <row r="49" spans="1:3" ht="12.75">
      <c r="A49" s="167"/>
      <c r="B49" s="9"/>
      <c r="C49" s="167"/>
    </row>
    <row r="50" spans="1:3" ht="12.75">
      <c r="A50" s="167"/>
      <c r="B50" s="9"/>
      <c r="C50" s="167"/>
    </row>
    <row r="51" spans="1:3" ht="12.75">
      <c r="A51" s="167"/>
      <c r="B51" s="9"/>
      <c r="C51" s="167"/>
    </row>
    <row r="52" spans="1:3" ht="12.75">
      <c r="A52" s="167"/>
      <c r="B52" s="9"/>
      <c r="C52" s="167"/>
    </row>
    <row r="53" spans="1:3" ht="12.75">
      <c r="A53" s="167"/>
      <c r="B53" s="9"/>
      <c r="C53" s="167"/>
    </row>
    <row r="54" spans="1:3" ht="12.75">
      <c r="A54" s="167"/>
      <c r="B54" s="9"/>
      <c r="C54" s="167"/>
    </row>
    <row r="55" spans="1:3" ht="12.75">
      <c r="A55" s="167"/>
      <c r="B55" s="9"/>
      <c r="C55" s="167"/>
    </row>
    <row r="56" spans="1:3" ht="12.75">
      <c r="A56" s="167"/>
      <c r="B56" s="9"/>
      <c r="C56" s="167"/>
    </row>
    <row r="57" spans="1:3" ht="12.75">
      <c r="A57" s="167"/>
      <c r="B57" s="9"/>
      <c r="C57" s="167"/>
    </row>
    <row r="58" spans="1:3" ht="12.75">
      <c r="A58" s="167"/>
      <c r="B58" s="9"/>
      <c r="C58" s="167"/>
    </row>
    <row r="59" spans="1:3" ht="12.75">
      <c r="A59" s="167"/>
      <c r="B59" s="9"/>
      <c r="C59" s="167"/>
    </row>
    <row r="60" spans="1:3" ht="12.75">
      <c r="A60" s="167"/>
      <c r="B60" s="9"/>
      <c r="C60" s="167"/>
    </row>
    <row r="61" spans="1:3" ht="12.75">
      <c r="A61" s="167"/>
      <c r="B61" s="9"/>
      <c r="C61" s="167"/>
    </row>
    <row r="62" spans="1:3" ht="12.75">
      <c r="A62" s="167"/>
      <c r="B62" s="9"/>
      <c r="C62" s="167"/>
    </row>
    <row r="63" spans="1:3" ht="12.75">
      <c r="A63" s="167"/>
      <c r="B63" s="9"/>
      <c r="C63" s="167"/>
    </row>
    <row r="64" spans="1:3" ht="12.75">
      <c r="A64" s="167"/>
      <c r="B64" s="9"/>
      <c r="C64" s="167"/>
    </row>
    <row r="65" spans="1:3" ht="12.75" customHeight="1">
      <c r="A65" s="167"/>
      <c r="B65" s="9"/>
      <c r="C65" s="167"/>
    </row>
    <row r="66" spans="1:3" ht="12.75">
      <c r="A66" s="167"/>
      <c r="B66" s="9"/>
      <c r="C66" s="167"/>
    </row>
    <row r="67" spans="1:3" ht="12.75">
      <c r="A67" s="167"/>
      <c r="B67" s="9"/>
      <c r="C67" s="167"/>
    </row>
    <row r="68" spans="1:3" ht="12.75">
      <c r="A68" s="167"/>
      <c r="B68" s="9"/>
      <c r="C68" s="167"/>
    </row>
    <row r="69" spans="1:3" ht="12.75">
      <c r="A69" s="167"/>
      <c r="B69" s="9"/>
      <c r="C69" s="167"/>
    </row>
    <row r="70" spans="1:3" ht="12.75">
      <c r="A70" s="167"/>
      <c r="B70" s="9"/>
      <c r="C70" s="167"/>
    </row>
    <row r="71" spans="1:3" ht="12.75">
      <c r="A71" s="167"/>
      <c r="B71" s="9"/>
      <c r="C71" s="167"/>
    </row>
    <row r="72" spans="1:3" ht="12.75">
      <c r="A72" s="167"/>
      <c r="B72" s="9"/>
      <c r="C72" s="167"/>
    </row>
    <row r="73" spans="1:3" ht="12.75">
      <c r="A73" s="167"/>
      <c r="B73" s="9"/>
      <c r="C73" s="167"/>
    </row>
    <row r="74" spans="1:3" ht="12.75">
      <c r="A74" s="167"/>
      <c r="B74" s="9"/>
      <c r="C74" s="167"/>
    </row>
    <row r="75" spans="1:3" ht="12.75">
      <c r="A75" s="167"/>
      <c r="B75" s="9"/>
      <c r="C75" s="167"/>
    </row>
    <row r="76" spans="1:3" ht="12.75">
      <c r="A76" s="167"/>
      <c r="B76" s="9"/>
      <c r="C76" s="167"/>
    </row>
    <row r="77" spans="1:3" ht="12.75">
      <c r="A77" s="167"/>
      <c r="B77" s="9"/>
      <c r="C77" s="167"/>
    </row>
    <row r="78" spans="1:3" ht="12.75">
      <c r="A78" s="167"/>
      <c r="B78" s="9"/>
      <c r="C78" s="167"/>
    </row>
    <row r="79" spans="1:3" ht="12.75">
      <c r="A79" s="167"/>
      <c r="B79" s="9"/>
      <c r="C79" s="167"/>
    </row>
    <row r="80" spans="1:3" ht="12.75">
      <c r="A80" s="167"/>
      <c r="B80" s="9"/>
      <c r="C80" s="167"/>
    </row>
    <row r="81" spans="1:3" ht="12.75">
      <c r="A81" s="167"/>
      <c r="B81" s="9"/>
      <c r="C81" s="167"/>
    </row>
    <row r="82" spans="1:3" ht="12.75">
      <c r="A82" s="167"/>
      <c r="B82" s="9"/>
      <c r="C82" s="167"/>
    </row>
    <row r="83" spans="1:3" ht="12.75">
      <c r="A83" s="167"/>
      <c r="B83" s="9"/>
      <c r="C83" s="167"/>
    </row>
    <row r="84" spans="1:3" ht="12.75">
      <c r="A84" s="167"/>
      <c r="B84" s="9"/>
      <c r="C84" s="167"/>
    </row>
    <row r="85" spans="1:3" ht="12.75">
      <c r="A85" s="167"/>
      <c r="B85" s="9"/>
      <c r="C85" s="167"/>
    </row>
    <row r="86" spans="1:3" ht="12.75">
      <c r="A86" s="167"/>
      <c r="B86" s="9"/>
      <c r="C86" s="167"/>
    </row>
    <row r="87" spans="1:3" ht="12.75">
      <c r="A87" s="167"/>
      <c r="B87" s="9"/>
      <c r="C87" s="167"/>
    </row>
    <row r="88" spans="1:3" ht="12.75">
      <c r="A88" s="167"/>
      <c r="B88" s="9"/>
      <c r="C88" s="167"/>
    </row>
    <row r="89" spans="1:3" ht="12.75">
      <c r="A89" s="167"/>
      <c r="B89" s="9"/>
      <c r="C89" s="167"/>
    </row>
    <row r="90" spans="1:3" ht="12.75">
      <c r="A90" s="167"/>
      <c r="B90" s="9"/>
      <c r="C90" s="167"/>
    </row>
    <row r="91" spans="1:3" ht="12.75">
      <c r="A91" s="167"/>
      <c r="B91" s="9"/>
      <c r="C91" s="167"/>
    </row>
    <row r="92" spans="1:3" ht="12.75">
      <c r="A92" s="167"/>
      <c r="B92" s="9"/>
      <c r="C92" s="167"/>
    </row>
    <row r="93" spans="1:3" ht="12.75">
      <c r="A93" s="167"/>
      <c r="B93" s="9"/>
      <c r="C93" s="167"/>
    </row>
    <row r="94" spans="1:3" ht="12.75">
      <c r="A94" s="167"/>
      <c r="B94" s="9"/>
      <c r="C94" s="167"/>
    </row>
    <row r="95" spans="1:3" ht="12.75">
      <c r="A95" s="167"/>
      <c r="B95" s="9"/>
      <c r="C95" s="167"/>
    </row>
    <row r="96" spans="1:3" ht="12.75">
      <c r="A96" s="167"/>
      <c r="B96" s="9"/>
      <c r="C96" s="167"/>
    </row>
    <row r="97" spans="1:3" ht="12.75">
      <c r="A97" s="167"/>
      <c r="B97" s="9"/>
      <c r="C97" s="167"/>
    </row>
    <row r="98" spans="1:3" ht="12.75">
      <c r="A98" s="167"/>
      <c r="B98" s="9"/>
      <c r="C98" s="167"/>
    </row>
    <row r="99" spans="1:3" ht="12.75">
      <c r="A99" s="167"/>
      <c r="B99" s="9"/>
      <c r="C99" s="167"/>
    </row>
    <row r="100" spans="1:3" ht="12.75">
      <c r="A100" s="167"/>
      <c r="B100" s="9"/>
      <c r="C100" s="167"/>
    </row>
    <row r="101" spans="1:3" ht="12.75">
      <c r="A101" s="167"/>
      <c r="B101" s="9"/>
      <c r="C101" s="167"/>
    </row>
    <row r="102" spans="1:3" ht="12.75">
      <c r="A102" s="167"/>
      <c r="B102" s="9"/>
      <c r="C102" s="167"/>
    </row>
    <row r="103" spans="1:3" ht="12.75">
      <c r="A103" s="167"/>
      <c r="B103" s="9"/>
      <c r="C103" s="167"/>
    </row>
    <row r="104" spans="1:3" ht="12.75">
      <c r="A104" s="167"/>
      <c r="B104" s="9"/>
      <c r="C104" s="167"/>
    </row>
    <row r="105" spans="1:3" ht="12.75">
      <c r="A105" s="167"/>
      <c r="B105" s="9"/>
      <c r="C105" s="167"/>
    </row>
    <row r="106" spans="1:3" ht="12.75">
      <c r="A106" s="167"/>
      <c r="B106" s="9"/>
      <c r="C106" s="167"/>
    </row>
    <row r="107" spans="1:3" ht="12.75">
      <c r="A107" s="167"/>
      <c r="B107" s="9"/>
      <c r="C107" s="167"/>
    </row>
    <row r="108" spans="1:3" ht="12.75">
      <c r="A108" s="167"/>
      <c r="B108" s="9"/>
      <c r="C108" s="167"/>
    </row>
    <row r="109" spans="1:3" ht="12.75">
      <c r="A109" s="167"/>
      <c r="B109" s="9"/>
      <c r="C109" s="167"/>
    </row>
    <row r="110" spans="1:3" ht="12.75">
      <c r="A110" s="167"/>
      <c r="B110" s="9"/>
      <c r="C110" s="167"/>
    </row>
    <row r="111" spans="1:3" ht="12.75">
      <c r="A111" s="167"/>
      <c r="B111" s="9"/>
      <c r="C111" s="167"/>
    </row>
    <row r="112" spans="1:3" ht="12.75">
      <c r="A112" s="167"/>
      <c r="B112" s="9"/>
      <c r="C112" s="167"/>
    </row>
    <row r="113" spans="1:3" ht="12.75">
      <c r="A113" s="167"/>
      <c r="B113" s="9"/>
      <c r="C113" s="167"/>
    </row>
    <row r="114" spans="1:3" ht="12.75">
      <c r="A114" s="167"/>
      <c r="B114" s="9"/>
      <c r="C114" s="167"/>
    </row>
    <row r="115" spans="1:3" ht="12.75">
      <c r="A115" s="167"/>
      <c r="B115" s="9"/>
      <c r="C115" s="167"/>
    </row>
    <row r="116" spans="1:3" ht="12.75">
      <c r="A116" s="167"/>
      <c r="B116" s="9"/>
      <c r="C116" s="167"/>
    </row>
    <row r="117" spans="1:3" ht="12.75">
      <c r="A117" s="167"/>
      <c r="B117" s="9"/>
      <c r="C117" s="167"/>
    </row>
    <row r="118" spans="1:3" ht="12.75">
      <c r="A118" s="167"/>
      <c r="B118" s="9"/>
      <c r="C118" s="167"/>
    </row>
    <row r="119" spans="1:3" ht="12.75">
      <c r="A119" s="167"/>
      <c r="B119" s="9"/>
      <c r="C119" s="167"/>
    </row>
    <row r="120" spans="1:3" ht="12.75">
      <c r="A120" s="167"/>
      <c r="B120" s="9"/>
      <c r="C120" s="167"/>
    </row>
    <row r="121" spans="1:3" ht="12.75">
      <c r="A121" s="167"/>
      <c r="B121" s="9"/>
      <c r="C121" s="167"/>
    </row>
    <row r="122" spans="1:3" ht="12.75">
      <c r="A122" s="167"/>
      <c r="B122" s="9"/>
      <c r="C122" s="167"/>
    </row>
    <row r="123" spans="1:3" ht="12.75">
      <c r="A123" s="167"/>
      <c r="B123" s="9"/>
      <c r="C123" s="167"/>
    </row>
    <row r="124" spans="1:3" ht="12.75">
      <c r="A124" s="167"/>
      <c r="B124" s="9"/>
      <c r="C124" s="167"/>
    </row>
    <row r="125" spans="1:3" ht="12.75">
      <c r="A125" s="167"/>
      <c r="B125" s="9"/>
      <c r="C125" s="167"/>
    </row>
    <row r="126" spans="1:3" ht="12.75">
      <c r="A126" s="167"/>
      <c r="B126" s="9"/>
      <c r="C126" s="167"/>
    </row>
    <row r="127" spans="1:3" ht="12.75">
      <c r="A127" s="167"/>
      <c r="B127" s="9"/>
      <c r="C127" s="167"/>
    </row>
    <row r="128" spans="1:3" ht="12.75">
      <c r="A128" s="167"/>
      <c r="B128" s="9"/>
      <c r="C128" s="167"/>
    </row>
    <row r="129" spans="1:3" ht="12.75">
      <c r="A129" s="167"/>
      <c r="B129" s="9"/>
      <c r="C129" s="167"/>
    </row>
    <row r="130" spans="1:3" ht="12.75">
      <c r="A130" s="167"/>
      <c r="B130" s="9"/>
      <c r="C130" s="167"/>
    </row>
    <row r="131" spans="1:3" ht="12.75">
      <c r="A131" s="167"/>
      <c r="B131" s="9"/>
      <c r="C131" s="167"/>
    </row>
    <row r="132" spans="1:3" ht="12.75">
      <c r="A132" s="167"/>
      <c r="B132" s="9"/>
      <c r="C132" s="167"/>
    </row>
    <row r="133" spans="1:3" ht="12.75">
      <c r="A133" s="167"/>
      <c r="B133" s="9"/>
      <c r="C133" s="167"/>
    </row>
    <row r="134" spans="1:3" ht="12.75">
      <c r="A134" s="167"/>
      <c r="B134" s="9"/>
      <c r="C134" s="167"/>
    </row>
    <row r="135" spans="1:3" ht="12.75">
      <c r="A135" s="167"/>
      <c r="B135" s="9"/>
      <c r="C135" s="167"/>
    </row>
    <row r="136" spans="1:3" ht="12.75">
      <c r="A136" s="167"/>
      <c r="B136" s="9"/>
      <c r="C136" s="167"/>
    </row>
    <row r="137" spans="1:3" ht="12.75">
      <c r="A137" s="167"/>
      <c r="B137" s="9"/>
      <c r="C137" s="167"/>
    </row>
    <row r="138" spans="1:3" ht="12.75">
      <c r="A138" s="167"/>
      <c r="B138" s="9"/>
      <c r="C138" s="167"/>
    </row>
    <row r="139" spans="1:3" ht="12.75">
      <c r="A139" s="167"/>
      <c r="B139" s="9"/>
      <c r="C139" s="167"/>
    </row>
    <row r="140" spans="1:3" ht="12.75">
      <c r="A140" s="167"/>
      <c r="B140" s="9"/>
      <c r="C140" s="167"/>
    </row>
    <row r="141" spans="1:3" ht="12.75">
      <c r="A141" s="167"/>
      <c r="B141" s="9"/>
      <c r="C141" s="167"/>
    </row>
    <row r="142" spans="1:3" ht="12.75">
      <c r="A142" s="167"/>
      <c r="B142" s="9"/>
      <c r="C142" s="167"/>
    </row>
    <row r="143" spans="1:3" ht="12.75">
      <c r="A143" s="167"/>
      <c r="B143" s="9"/>
      <c r="C143" s="167"/>
    </row>
    <row r="144" spans="1:3" ht="12.75">
      <c r="A144" s="167"/>
      <c r="B144" s="9"/>
      <c r="C144" s="167"/>
    </row>
    <row r="145" spans="1:3" ht="12.75">
      <c r="A145" s="167"/>
      <c r="B145" s="9"/>
      <c r="C145" s="167"/>
    </row>
    <row r="146" spans="1:3" ht="12.75">
      <c r="A146" s="167"/>
      <c r="B146" s="9"/>
      <c r="C146" s="167"/>
    </row>
    <row r="147" spans="1:3" ht="12.75">
      <c r="A147" s="167"/>
      <c r="B147" s="9"/>
      <c r="C147" s="167"/>
    </row>
    <row r="148" spans="1:3" ht="12.75">
      <c r="A148" s="167"/>
      <c r="B148" s="9"/>
      <c r="C148" s="167"/>
    </row>
    <row r="149" spans="1:3" ht="12.75">
      <c r="A149" s="167"/>
      <c r="B149" s="9"/>
      <c r="C149" s="167"/>
    </row>
    <row r="150" spans="1:3" ht="12.75">
      <c r="A150" s="167"/>
      <c r="B150" s="9"/>
      <c r="C150" s="167"/>
    </row>
    <row r="151" spans="1:3" ht="12.75">
      <c r="A151" s="167"/>
      <c r="B151" s="9"/>
      <c r="C151" s="167"/>
    </row>
    <row r="152" spans="1:3" ht="12.75">
      <c r="A152" s="167"/>
      <c r="B152" s="9"/>
      <c r="C152" s="167"/>
    </row>
    <row r="153" spans="1:3" ht="12.75">
      <c r="A153" s="167"/>
      <c r="B153" s="9"/>
      <c r="C153" s="167"/>
    </row>
    <row r="154" spans="1:3" ht="12.75">
      <c r="A154" s="167"/>
      <c r="B154" s="9"/>
      <c r="C154" s="167"/>
    </row>
    <row r="155" spans="1:3" ht="12.75">
      <c r="A155" s="167"/>
      <c r="B155" s="9"/>
      <c r="C155" s="167"/>
    </row>
    <row r="156" spans="1:3" ht="12.75">
      <c r="A156" s="167"/>
      <c r="B156" s="9"/>
      <c r="C156" s="167"/>
    </row>
    <row r="157" spans="1:3" ht="12.75">
      <c r="A157" s="167"/>
      <c r="B157" s="9"/>
      <c r="C157" s="167"/>
    </row>
    <row r="158" spans="1:3" ht="12.75">
      <c r="A158" s="167"/>
      <c r="B158" s="9"/>
      <c r="C158" s="167"/>
    </row>
    <row r="159" spans="1:3" ht="12.75">
      <c r="A159" s="167"/>
      <c r="B159" s="9"/>
      <c r="C159" s="167"/>
    </row>
    <row r="160" spans="1:3" ht="12.75">
      <c r="A160" s="167"/>
      <c r="B160" s="9"/>
      <c r="C160" s="167"/>
    </row>
    <row r="161" spans="1:3" ht="12.75">
      <c r="A161" s="167"/>
      <c r="B161" s="9"/>
      <c r="C161" s="167"/>
    </row>
    <row r="162" spans="1:3" ht="12.75">
      <c r="A162" s="167"/>
      <c r="B162" s="9"/>
      <c r="C162" s="167"/>
    </row>
    <row r="163" spans="1:3" ht="12.75">
      <c r="A163" s="167"/>
      <c r="B163" s="9"/>
      <c r="C163" s="167"/>
    </row>
    <row r="164" spans="1:3" ht="12.75">
      <c r="A164" s="167"/>
      <c r="B164" s="9"/>
      <c r="C164" s="167"/>
    </row>
    <row r="165" spans="1:3" ht="12.75">
      <c r="A165" s="167"/>
      <c r="B165" s="9"/>
      <c r="C165" s="167"/>
    </row>
    <row r="166" spans="1:3" ht="12.75">
      <c r="A166" s="167"/>
      <c r="B166" s="9"/>
      <c r="C166" s="167"/>
    </row>
    <row r="167" spans="1:3" ht="12.75">
      <c r="A167" s="167"/>
      <c r="B167" s="9"/>
      <c r="C167" s="167"/>
    </row>
    <row r="168" spans="1:3" ht="12.75">
      <c r="A168" s="167"/>
      <c r="B168" s="9"/>
      <c r="C168" s="167"/>
    </row>
    <row r="169" spans="1:3" ht="12.75">
      <c r="A169" s="167"/>
      <c r="B169" s="9"/>
      <c r="C169" s="167"/>
    </row>
    <row r="170" spans="1:3" ht="12.75">
      <c r="A170" s="167"/>
      <c r="B170" s="9"/>
      <c r="C170" s="167"/>
    </row>
    <row r="171" spans="1:3" ht="12.75">
      <c r="A171" s="167"/>
      <c r="B171" s="9"/>
      <c r="C171" s="167"/>
    </row>
    <row r="172" spans="1:3" ht="12.75">
      <c r="A172" s="167"/>
      <c r="B172" s="9"/>
      <c r="C172" s="167"/>
    </row>
    <row r="173" spans="1:3" ht="12.75">
      <c r="A173" s="167"/>
      <c r="B173" s="9"/>
      <c r="C173" s="167"/>
    </row>
    <row r="174" spans="1:3" ht="12.75">
      <c r="A174" s="167"/>
      <c r="B174" s="9"/>
      <c r="C174" s="167"/>
    </row>
    <row r="175" spans="1:3" ht="12.75">
      <c r="A175" s="167"/>
      <c r="B175" s="9"/>
      <c r="C175" s="167"/>
    </row>
    <row r="176" spans="1:3" ht="12.75">
      <c r="A176" s="167"/>
      <c r="B176" s="9"/>
      <c r="C176" s="167"/>
    </row>
    <row r="177" spans="1:3" ht="12.75">
      <c r="A177" s="167"/>
      <c r="B177" s="9"/>
      <c r="C177" s="167"/>
    </row>
    <row r="178" spans="1:3" ht="12.75">
      <c r="A178" s="167"/>
      <c r="B178" s="9"/>
      <c r="C178" s="167"/>
    </row>
    <row r="179" spans="1:3" ht="12.75">
      <c r="A179" s="167"/>
      <c r="B179" s="9"/>
      <c r="C179" s="167"/>
    </row>
    <row r="180" spans="1:3" ht="12.75">
      <c r="A180" s="167"/>
      <c r="B180" s="9"/>
      <c r="C180" s="167"/>
    </row>
    <row r="181" spans="1:3" ht="12.75">
      <c r="A181" s="167"/>
      <c r="B181" s="9"/>
      <c r="C181" s="167"/>
    </row>
    <row r="182" spans="1:3" ht="12.75">
      <c r="A182" s="167"/>
      <c r="B182" s="9"/>
      <c r="C182" s="167"/>
    </row>
    <row r="183" spans="1:3" ht="12.75">
      <c r="A183" s="167"/>
      <c r="B183" s="9"/>
      <c r="C183" s="167"/>
    </row>
    <row r="184" spans="1:3" ht="12.75">
      <c r="A184" s="167"/>
      <c r="B184" s="9"/>
      <c r="C184" s="167"/>
    </row>
    <row r="185" spans="1:3" ht="12.75">
      <c r="A185" s="167"/>
      <c r="B185" s="9"/>
      <c r="C185" s="167"/>
    </row>
    <row r="186" spans="1:3" ht="12.75">
      <c r="A186" s="167"/>
      <c r="B186" s="9"/>
      <c r="C186" s="167"/>
    </row>
    <row r="187" spans="1:3" ht="12.75">
      <c r="A187" s="167"/>
      <c r="B187" s="9"/>
      <c r="C187" s="167"/>
    </row>
    <row r="188" spans="1:3" ht="12.75">
      <c r="A188" s="167"/>
      <c r="B188" s="9"/>
      <c r="C188" s="167"/>
    </row>
    <row r="189" spans="1:3" ht="12.75">
      <c r="A189" s="167"/>
      <c r="B189" s="9"/>
      <c r="C189" s="167"/>
    </row>
    <row r="190" spans="1:3" ht="12.75">
      <c r="A190" s="167"/>
      <c r="B190" s="9"/>
      <c r="C190" s="167"/>
    </row>
    <row r="191" spans="1:3" ht="12.75">
      <c r="A191" s="167"/>
      <c r="B191" s="9"/>
      <c r="C191" s="167"/>
    </row>
    <row r="192" spans="1:3" ht="12.75">
      <c r="A192" s="167"/>
      <c r="B192" s="9"/>
      <c r="C192" s="167"/>
    </row>
    <row r="193" spans="1:3" ht="12.75">
      <c r="A193" s="167"/>
      <c r="B193" s="9"/>
      <c r="C193" s="167"/>
    </row>
    <row r="194" spans="1:3" ht="12.75">
      <c r="A194" s="167"/>
      <c r="B194" s="9"/>
      <c r="C194" s="167"/>
    </row>
    <row r="195" spans="1:3" ht="12.75">
      <c r="A195" s="167"/>
      <c r="B195" s="9"/>
      <c r="C195" s="167"/>
    </row>
    <row r="196" spans="1:3" ht="12.75">
      <c r="A196" s="167"/>
      <c r="B196" s="9"/>
      <c r="C196" s="167"/>
    </row>
    <row r="197" spans="1:3" ht="12.75">
      <c r="A197" s="167"/>
      <c r="B197" s="9"/>
      <c r="C197" s="167"/>
    </row>
    <row r="198" spans="1:3" ht="12.75">
      <c r="A198" s="167"/>
      <c r="B198" s="9"/>
      <c r="C198" s="167"/>
    </row>
    <row r="199" spans="1:3" ht="12.75">
      <c r="A199" s="167"/>
      <c r="B199" s="9"/>
      <c r="C199" s="167"/>
    </row>
    <row r="200" spans="1:3" ht="12.75">
      <c r="A200" s="167"/>
      <c r="B200" s="9"/>
      <c r="C200" s="167"/>
    </row>
    <row r="201" spans="1:3" ht="12.75">
      <c r="A201" s="167"/>
      <c r="B201" s="9"/>
      <c r="C201" s="167"/>
    </row>
    <row r="202" spans="1:3" ht="12.75">
      <c r="A202" s="167"/>
      <c r="B202" s="9"/>
      <c r="C202" s="167"/>
    </row>
    <row r="203" spans="1:3" ht="12.75">
      <c r="A203" s="167"/>
      <c r="B203" s="9"/>
      <c r="C203" s="167"/>
    </row>
    <row r="204" spans="1:3" ht="12.75">
      <c r="A204" s="167"/>
      <c r="B204" s="9"/>
      <c r="C204" s="167"/>
    </row>
    <row r="205" spans="1:3" ht="12.75">
      <c r="A205" s="167"/>
      <c r="B205" s="9"/>
      <c r="C205" s="167"/>
    </row>
    <row r="206" spans="1:3" ht="12.75">
      <c r="A206" s="167"/>
      <c r="B206" s="9"/>
      <c r="C206" s="167"/>
    </row>
    <row r="207" spans="1:3" ht="12.75">
      <c r="A207" s="167"/>
      <c r="B207" s="9"/>
      <c r="C207" s="167"/>
    </row>
    <row r="208" spans="1:3" ht="12.75">
      <c r="A208" s="167"/>
      <c r="B208" s="9"/>
      <c r="C208" s="167"/>
    </row>
    <row r="209" spans="1:3" ht="12.75">
      <c r="A209" s="167"/>
      <c r="B209" s="9"/>
      <c r="C209" s="167"/>
    </row>
    <row r="210" spans="1:3" ht="12.75">
      <c r="A210" s="167"/>
      <c r="B210" s="9"/>
      <c r="C210" s="167"/>
    </row>
    <row r="211" spans="1:3" ht="12.75">
      <c r="A211" s="167"/>
      <c r="B211" s="9"/>
      <c r="C211" s="167"/>
    </row>
    <row r="212" spans="1:3" ht="12.75">
      <c r="A212" s="167"/>
      <c r="B212" s="9"/>
      <c r="C212" s="167"/>
    </row>
    <row r="213" spans="1:3" ht="12.75">
      <c r="A213" s="167"/>
      <c r="B213" s="9"/>
      <c r="C213" s="167"/>
    </row>
    <row r="214" spans="1:3" ht="12.75">
      <c r="A214" s="167"/>
      <c r="B214" s="9"/>
      <c r="C214" s="167"/>
    </row>
    <row r="215" spans="1:3" ht="12.75">
      <c r="A215" s="167"/>
      <c r="B215" s="9"/>
      <c r="C215" s="167"/>
    </row>
    <row r="216" spans="1:3" ht="12.75">
      <c r="A216" s="167"/>
      <c r="B216" s="9"/>
      <c r="C216" s="167"/>
    </row>
    <row r="217" spans="1:3" ht="12.75">
      <c r="A217" s="167"/>
      <c r="B217" s="9"/>
      <c r="C217" s="167"/>
    </row>
    <row r="218" spans="1:3" ht="12.75">
      <c r="A218" s="167"/>
      <c r="B218" s="9"/>
      <c r="C218" s="167"/>
    </row>
    <row r="219" spans="1:3" ht="12.75">
      <c r="A219" s="167"/>
      <c r="B219" s="9"/>
      <c r="C219" s="167"/>
    </row>
    <row r="220" spans="1:3" ht="12.75">
      <c r="A220" s="167"/>
      <c r="B220" s="9"/>
      <c r="C220" s="167"/>
    </row>
    <row r="221" spans="1:3" ht="12.75">
      <c r="A221" s="167"/>
      <c r="B221" s="9"/>
      <c r="C221" s="167"/>
    </row>
    <row r="222" spans="1:3" ht="12.75">
      <c r="A222" s="167"/>
      <c r="B222" s="9"/>
      <c r="C222" s="167"/>
    </row>
    <row r="223" spans="1:3" ht="12.75">
      <c r="A223" s="167"/>
      <c r="B223" s="9"/>
      <c r="C223" s="167"/>
    </row>
    <row r="224" spans="1:3" ht="12.75">
      <c r="A224" s="167"/>
      <c r="B224" s="9"/>
      <c r="C224" s="167"/>
    </row>
    <row r="225" spans="1:3" ht="12.75">
      <c r="A225" s="167"/>
      <c r="B225" s="9"/>
      <c r="C225" s="167"/>
    </row>
    <row r="226" spans="1:3" ht="12.75">
      <c r="A226" s="167"/>
      <c r="B226" s="9"/>
      <c r="C226" s="167"/>
    </row>
    <row r="227" spans="1:3" ht="12.75">
      <c r="A227" s="167"/>
      <c r="B227" s="9"/>
      <c r="C227" s="167"/>
    </row>
    <row r="228" spans="1:3" ht="12.75">
      <c r="A228" s="167"/>
      <c r="B228" s="9"/>
      <c r="C228" s="167"/>
    </row>
    <row r="229" spans="1:3" ht="12.75">
      <c r="A229" s="167"/>
      <c r="B229" s="9"/>
      <c r="C229" s="167"/>
    </row>
    <row r="230" spans="1:3" ht="12.75">
      <c r="A230" s="167"/>
      <c r="B230" s="9"/>
      <c r="C230" s="167"/>
    </row>
    <row r="231" spans="1:3" ht="12.75">
      <c r="A231" s="167"/>
      <c r="B231" s="9"/>
      <c r="C231" s="167"/>
    </row>
    <row r="232" spans="1:3" ht="12.75">
      <c r="A232" s="167"/>
      <c r="B232" s="9"/>
      <c r="C232" s="167"/>
    </row>
    <row r="233" spans="1:3" ht="12.75">
      <c r="A233" s="167"/>
      <c r="B233" s="9"/>
      <c r="C233" s="167"/>
    </row>
    <row r="234" spans="1:3" ht="12.75">
      <c r="A234" s="167"/>
      <c r="B234" s="9"/>
      <c r="C234" s="167"/>
    </row>
    <row r="235" spans="1:3" ht="12.75">
      <c r="A235" s="167"/>
      <c r="B235" s="9"/>
      <c r="C235" s="167"/>
    </row>
    <row r="236" spans="1:3" ht="12.75">
      <c r="A236" s="167"/>
      <c r="B236" s="9"/>
      <c r="C236" s="167"/>
    </row>
    <row r="237" spans="1:3" ht="12.75">
      <c r="A237" s="167"/>
      <c r="B237" s="9"/>
      <c r="C237" s="167"/>
    </row>
    <row r="238" spans="1:3" ht="12.75">
      <c r="A238" s="167"/>
      <c r="B238" s="9"/>
      <c r="C238" s="167"/>
    </row>
    <row r="239" spans="1:3" ht="12.75">
      <c r="A239" s="167"/>
      <c r="B239" s="9"/>
      <c r="C239" s="167"/>
    </row>
    <row r="240" spans="1:3" ht="12.75">
      <c r="A240" s="167"/>
      <c r="B240" s="9"/>
      <c r="C240" s="167"/>
    </row>
    <row r="241" spans="1:3" ht="12.75">
      <c r="A241" s="167"/>
      <c r="B241" s="9"/>
      <c r="C241" s="167"/>
    </row>
    <row r="242" spans="1:3" ht="12.75">
      <c r="A242" s="167"/>
      <c r="B242" s="9"/>
      <c r="C242" s="167"/>
    </row>
    <row r="243" spans="1:3" ht="12.75">
      <c r="A243" s="167"/>
      <c r="B243" s="9"/>
      <c r="C243" s="167"/>
    </row>
    <row r="244" spans="1:3" ht="12.75">
      <c r="A244" s="167"/>
      <c r="B244" s="9"/>
      <c r="C244" s="167"/>
    </row>
    <row r="245" spans="1:3" ht="12.75">
      <c r="A245" s="167"/>
      <c r="B245" s="9"/>
      <c r="C245" s="167"/>
    </row>
    <row r="246" spans="1:3" ht="12.75">
      <c r="A246" s="167"/>
      <c r="B246" s="9"/>
      <c r="C246" s="167"/>
    </row>
    <row r="247" spans="1:3" ht="12.75">
      <c r="A247" s="167"/>
      <c r="B247" s="9"/>
      <c r="C247" s="167"/>
    </row>
    <row r="248" spans="1:3" ht="12.75">
      <c r="A248" s="167"/>
      <c r="B248" s="9"/>
      <c r="C248" s="167"/>
    </row>
    <row r="249" spans="1:3" ht="12.75">
      <c r="A249" s="167"/>
      <c r="B249" s="9"/>
      <c r="C249" s="167"/>
    </row>
    <row r="250" spans="1:3" ht="12.75">
      <c r="A250" s="167"/>
      <c r="B250" s="9"/>
      <c r="C250" s="167"/>
    </row>
    <row r="251" spans="1:3" ht="12.75">
      <c r="A251" s="167"/>
      <c r="B251" s="9"/>
      <c r="C251" s="167"/>
    </row>
    <row r="252" spans="1:3" ht="12.75">
      <c r="A252" s="167"/>
      <c r="B252" s="9"/>
      <c r="C252" s="167"/>
    </row>
    <row r="253" spans="1:3" ht="12.75">
      <c r="A253" s="167"/>
      <c r="B253" s="9"/>
      <c r="C253" s="167"/>
    </row>
    <row r="254" spans="1:3" ht="12.75">
      <c r="A254" s="167"/>
      <c r="B254" s="9"/>
      <c r="C254" s="167"/>
    </row>
    <row r="255" spans="1:3" ht="12.75">
      <c r="A255" s="167"/>
      <c r="B255" s="9"/>
      <c r="C255" s="167"/>
    </row>
    <row r="256" spans="1:3" ht="12.75">
      <c r="A256" s="167"/>
      <c r="B256" s="9"/>
      <c r="C256" s="167"/>
    </row>
    <row r="257" spans="1:3" ht="12.75">
      <c r="A257" s="167"/>
      <c r="B257" s="9"/>
      <c r="C257" s="167"/>
    </row>
    <row r="258" spans="1:3" ht="12.75">
      <c r="A258" s="167"/>
      <c r="B258" s="9"/>
      <c r="C258" s="167"/>
    </row>
    <row r="259" spans="1:3" ht="12.75">
      <c r="A259" s="167"/>
      <c r="B259" s="9"/>
      <c r="C259" s="167"/>
    </row>
    <row r="260" spans="1:3" ht="12.75">
      <c r="A260" s="167"/>
      <c r="B260" s="9"/>
      <c r="C260" s="167"/>
    </row>
    <row r="261" spans="1:3" ht="12.75">
      <c r="A261" s="167"/>
      <c r="B261" s="9"/>
      <c r="C261" s="167"/>
    </row>
    <row r="262" spans="1:3" ht="12.75">
      <c r="A262" s="167"/>
      <c r="B262" s="9"/>
      <c r="C262" s="167"/>
    </row>
    <row r="263" spans="1:3" ht="12.75">
      <c r="A263" s="167"/>
      <c r="B263" s="9"/>
      <c r="C263" s="167"/>
    </row>
    <row r="264" spans="1:3" ht="12.75">
      <c r="A264" s="167"/>
      <c r="B264" s="9"/>
      <c r="C264" s="167"/>
    </row>
    <row r="265" spans="1:3" ht="12.75">
      <c r="A265" s="167"/>
      <c r="B265" s="9"/>
      <c r="C265" s="167"/>
    </row>
    <row r="266" spans="1:3" ht="12.75">
      <c r="A266" s="167"/>
      <c r="B266" s="9"/>
      <c r="C266" s="167"/>
    </row>
    <row r="267" spans="1:3" ht="12.75">
      <c r="A267" s="167"/>
      <c r="B267" s="9"/>
      <c r="C267" s="167"/>
    </row>
    <row r="268" spans="1:3" ht="12.75">
      <c r="A268" s="167"/>
      <c r="B268" s="9"/>
      <c r="C268" s="167"/>
    </row>
    <row r="269" spans="1:3" ht="12.75">
      <c r="A269" s="167"/>
      <c r="B269" s="9"/>
      <c r="C269" s="167"/>
    </row>
    <row r="270" spans="1:3" ht="12.75">
      <c r="A270" s="167"/>
      <c r="B270" s="9"/>
      <c r="C270" s="167"/>
    </row>
    <row r="271" spans="1:3" ht="12.75">
      <c r="A271" s="167"/>
      <c r="B271" s="9"/>
      <c r="C271" s="167"/>
    </row>
    <row r="272" spans="1:3" ht="12.75">
      <c r="A272" s="167"/>
      <c r="B272" s="9"/>
      <c r="C272" s="167"/>
    </row>
    <row r="273" spans="1:3" ht="12.75">
      <c r="A273" s="167"/>
      <c r="B273" s="9"/>
      <c r="C273" s="167"/>
    </row>
    <row r="274" spans="1:3" ht="12.75">
      <c r="A274" s="167"/>
      <c r="B274" s="9"/>
      <c r="C274" s="167"/>
    </row>
    <row r="275" spans="1:3" ht="12.75">
      <c r="A275" s="167"/>
      <c r="B275" s="9"/>
      <c r="C275" s="167"/>
    </row>
    <row r="276" spans="1:3" ht="12.75">
      <c r="A276" s="167"/>
      <c r="B276" s="9"/>
      <c r="C276" s="167"/>
    </row>
    <row r="277" spans="1:3" ht="12.75">
      <c r="A277" s="167"/>
      <c r="B277" s="9"/>
      <c r="C277" s="167"/>
    </row>
    <row r="278" spans="1:3" ht="12.75">
      <c r="A278" s="167"/>
      <c r="B278" s="9"/>
      <c r="C278" s="167"/>
    </row>
    <row r="279" spans="1:3" ht="12.75">
      <c r="A279" s="167"/>
      <c r="B279" s="9"/>
      <c r="C279" s="167"/>
    </row>
    <row r="280" spans="1:3" ht="12.75">
      <c r="A280" s="167"/>
      <c r="B280" s="9"/>
      <c r="C280" s="167"/>
    </row>
    <row r="281" spans="1:3" ht="12.75">
      <c r="A281" s="167"/>
      <c r="B281" s="9"/>
      <c r="C281" s="167"/>
    </row>
    <row r="282" spans="1:3" ht="12.75">
      <c r="A282" s="167"/>
      <c r="B282" s="9"/>
      <c r="C282" s="167"/>
    </row>
    <row r="283" spans="1:3" ht="12.75">
      <c r="A283" s="167"/>
      <c r="B283" s="9"/>
      <c r="C283" s="167"/>
    </row>
    <row r="284" spans="1:3" ht="12.75">
      <c r="A284" s="167"/>
      <c r="B284" s="9"/>
      <c r="C284" s="167"/>
    </row>
    <row r="285" spans="1:4" ht="12.75">
      <c r="A285" s="168"/>
      <c r="B285" s="168"/>
      <c r="C285" s="168"/>
      <c r="D285" s="168"/>
    </row>
    <row r="286" spans="1:4" ht="12.75">
      <c r="A286" s="168"/>
      <c r="B286" s="168"/>
      <c r="C286" s="168"/>
      <c r="D286" s="168"/>
    </row>
    <row r="287" spans="1:4" ht="12.75">
      <c r="A287" s="168"/>
      <c r="B287" s="168"/>
      <c r="C287" s="168"/>
      <c r="D287" s="168"/>
    </row>
  </sheetData>
  <sheetProtection password="DF32" sheet="1" objects="1" scenarios="1" selectLockedCells="1"/>
  <protectedRanges>
    <protectedRange sqref="D9:E10" name="Eingabe_2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R9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3.57421875" style="0" customWidth="1"/>
    <col min="2" max="2" width="44.421875" style="0" customWidth="1"/>
    <col min="3" max="4" width="7.140625" style="0" bestFit="1" customWidth="1"/>
    <col min="5" max="5" width="7.28125" style="0" bestFit="1" customWidth="1"/>
    <col min="6" max="6" width="6.57421875" style="0" bestFit="1" customWidth="1"/>
    <col min="7" max="9" width="7.140625" style="0" bestFit="1" customWidth="1"/>
    <col min="10" max="10" width="6.57421875" style="0" bestFit="1" customWidth="1"/>
    <col min="11" max="11" width="6.8515625" style="0" bestFit="1" customWidth="1"/>
    <col min="12" max="12" width="10.00390625" style="0" bestFit="1" customWidth="1"/>
    <col min="13" max="13" width="7.57421875" style="0" bestFit="1" customWidth="1"/>
    <col min="14" max="14" width="9.140625" style="0" bestFit="1" customWidth="1"/>
    <col min="15" max="15" width="9.421875" style="0" bestFit="1" customWidth="1"/>
    <col min="16" max="16" width="16.00390625" style="0" customWidth="1"/>
  </cols>
  <sheetData>
    <row r="1" spans="1:16" ht="15.7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</row>
    <row r="2" spans="1:16" ht="17.25" customHeight="1">
      <c r="A2" s="1">
        <v>2</v>
      </c>
      <c r="B2" s="106" t="s">
        <v>34</v>
      </c>
      <c r="C2" s="106"/>
      <c r="D2" s="106" t="s">
        <v>22</v>
      </c>
      <c r="E2" s="46" t="s">
        <v>23</v>
      </c>
      <c r="F2" s="46" t="s">
        <v>24</v>
      </c>
      <c r="G2" s="46" t="s">
        <v>25</v>
      </c>
      <c r="H2" s="46" t="s">
        <v>26</v>
      </c>
      <c r="I2" s="46" t="s">
        <v>27</v>
      </c>
      <c r="J2" s="46" t="s">
        <v>28</v>
      </c>
      <c r="K2" s="46" t="s">
        <v>29</v>
      </c>
      <c r="L2" s="46" t="s">
        <v>30</v>
      </c>
      <c r="M2" s="46" t="s">
        <v>31</v>
      </c>
      <c r="N2" s="46" t="s">
        <v>32</v>
      </c>
      <c r="O2" s="47" t="s">
        <v>33</v>
      </c>
      <c r="P2" s="41" t="s">
        <v>78</v>
      </c>
    </row>
    <row r="3" spans="1:16" ht="12.75">
      <c r="A3" s="1">
        <v>3</v>
      </c>
      <c r="B3" s="21" t="s">
        <v>83</v>
      </c>
      <c r="C3" s="44"/>
      <c r="D3" s="150">
        <v>23</v>
      </c>
      <c r="E3" s="48">
        <v>40</v>
      </c>
      <c r="F3" s="48">
        <v>72</v>
      </c>
      <c r="G3" s="48">
        <v>111</v>
      </c>
      <c r="H3" s="48">
        <v>150</v>
      </c>
      <c r="I3" s="48">
        <v>153</v>
      </c>
      <c r="J3" s="48">
        <v>143</v>
      </c>
      <c r="K3" s="48">
        <v>130</v>
      </c>
      <c r="L3" s="48">
        <v>89</v>
      </c>
      <c r="M3" s="48">
        <v>53</v>
      </c>
      <c r="N3" s="48">
        <v>25</v>
      </c>
      <c r="O3" s="151">
        <v>17</v>
      </c>
      <c r="P3" s="49">
        <f>AVERAGE(D3:O3)</f>
        <v>83.83333333333333</v>
      </c>
    </row>
    <row r="4" spans="1:16" ht="12.75">
      <c r="A4" s="1">
        <v>4</v>
      </c>
      <c r="B4" s="21" t="s">
        <v>86</v>
      </c>
      <c r="C4" s="27"/>
      <c r="D4" s="150">
        <v>0.9710743801652894</v>
      </c>
      <c r="E4" s="48">
        <v>1.8181818181818183</v>
      </c>
      <c r="F4" s="48">
        <v>2.272727272727273</v>
      </c>
      <c r="G4" s="48">
        <v>3.078512396694215</v>
      </c>
      <c r="H4" s="48">
        <v>3.4917355371900825</v>
      </c>
      <c r="I4" s="48">
        <v>3.450413223140496</v>
      </c>
      <c r="J4" s="48">
        <v>3.1611570247933884</v>
      </c>
      <c r="K4" s="48">
        <v>3.2024793388429753</v>
      </c>
      <c r="L4" s="48">
        <v>2.644628099173554</v>
      </c>
      <c r="M4" s="48">
        <v>1.8801652892561984</v>
      </c>
      <c r="N4" s="48">
        <v>1.0537190082644627</v>
      </c>
      <c r="O4" s="151">
        <v>0.7231404958677686</v>
      </c>
      <c r="P4" s="49"/>
    </row>
    <row r="5" spans="1:16" ht="12.75">
      <c r="A5" s="1">
        <v>5</v>
      </c>
      <c r="B5" s="21" t="s">
        <v>87</v>
      </c>
      <c r="C5" s="27"/>
      <c r="D5" s="150">
        <v>30.103305785123972</v>
      </c>
      <c r="E5" s="48">
        <v>50.90909090909092</v>
      </c>
      <c r="F5" s="48">
        <v>70.45454545454545</v>
      </c>
      <c r="G5" s="48">
        <v>92.35537190082646</v>
      </c>
      <c r="H5" s="48">
        <v>108.24380165289256</v>
      </c>
      <c r="I5" s="48">
        <v>103.51239669421489</v>
      </c>
      <c r="J5" s="48">
        <v>97.99586776859505</v>
      </c>
      <c r="K5" s="48">
        <v>99.27685950413223</v>
      </c>
      <c r="L5" s="48">
        <v>79.33884297520662</v>
      </c>
      <c r="M5" s="48">
        <v>58.285123966942145</v>
      </c>
      <c r="N5" s="48">
        <v>31.611570247933884</v>
      </c>
      <c r="O5" s="151">
        <v>22.417355371900825</v>
      </c>
      <c r="P5" s="49">
        <f>SUM(D5:O5)</f>
        <v>844.504132231405</v>
      </c>
    </row>
    <row r="6" spans="1:16" ht="12.75">
      <c r="A6" s="1">
        <v>6</v>
      </c>
      <c r="B6" s="163" t="s">
        <v>173</v>
      </c>
      <c r="C6" s="28"/>
      <c r="D6" s="24"/>
      <c r="E6" s="43"/>
      <c r="F6" s="43"/>
      <c r="G6" s="43"/>
      <c r="H6" s="43"/>
      <c r="I6" s="43"/>
      <c r="J6" s="43"/>
      <c r="K6" s="43"/>
      <c r="L6" s="43"/>
      <c r="M6" s="43"/>
      <c r="N6" s="43"/>
      <c r="O6" s="152"/>
      <c r="P6" s="28"/>
    </row>
    <row r="7" spans="1:16" ht="12.75">
      <c r="A7" s="1">
        <v>7</v>
      </c>
      <c r="B7" s="149" t="s">
        <v>85</v>
      </c>
      <c r="C7" s="149">
        <v>0</v>
      </c>
      <c r="D7" s="153">
        <f>SUM($D5:D5)/$P5</f>
        <v>0.035646132015462156</v>
      </c>
      <c r="E7" s="122">
        <f>SUM($D5:E5)/$P5</f>
        <v>0.09592895239027255</v>
      </c>
      <c r="F7" s="122">
        <f>SUM($D5:F5)/$P5</f>
        <v>0.17935606987326905</v>
      </c>
      <c r="G7" s="122">
        <f>SUM($D5:G5)/$P5</f>
        <v>0.28871654352400056</v>
      </c>
      <c r="H7" s="122">
        <f>SUM($D5:H5)/$P5</f>
        <v>0.41689093311151343</v>
      </c>
      <c r="I7" s="122">
        <f>SUM($D5:I5)/$P5</f>
        <v>0.5394627391495816</v>
      </c>
      <c r="J7" s="122">
        <f>SUM($D5:J5)/$P5</f>
        <v>0.6555022752850223</v>
      </c>
      <c r="K7" s="122">
        <f>SUM($D5:K5)/$P5</f>
        <v>0.773058668101972</v>
      </c>
      <c r="L7" s="122">
        <f>SUM($D5:L5)/$P5</f>
        <v>0.867005920634144</v>
      </c>
      <c r="M7" s="122">
        <f>SUM($D5:M5)/$P5</f>
        <v>0.9360228996428047</v>
      </c>
      <c r="N7" s="122">
        <f>SUM($D5:N5)/$P5</f>
        <v>0.973455008073592</v>
      </c>
      <c r="O7" s="154">
        <f>SUM($D5:O5)/$P5</f>
        <v>1</v>
      </c>
      <c r="P7" s="121"/>
    </row>
    <row r="8" spans="1:16" ht="12.75">
      <c r="A8" s="1">
        <v>8</v>
      </c>
      <c r="B8" s="64" t="s">
        <v>84</v>
      </c>
      <c r="C8" s="64">
        <v>0</v>
      </c>
      <c r="D8" s="155">
        <f>SUM(D5:$O5)/$P5</f>
        <v>1</v>
      </c>
      <c r="E8" s="156">
        <f>SUM(E5:$O5)/$P5</f>
        <v>0.9643538679845377</v>
      </c>
      <c r="F8" s="156">
        <f>SUM(F5:$O5)/$P5</f>
        <v>0.9040710476097275</v>
      </c>
      <c r="G8" s="156">
        <f>SUM(G5:$O5)/$P5</f>
        <v>0.8206439301267309</v>
      </c>
      <c r="H8" s="156">
        <f>SUM(H5:$O5)/$P5</f>
        <v>0.7112834564759994</v>
      </c>
      <c r="I8" s="156">
        <f>SUM(I5:$O5)/$P5</f>
        <v>0.5831090668884864</v>
      </c>
      <c r="J8" s="156">
        <f>SUM(J5:$O5)/$P5</f>
        <v>0.4605372608504184</v>
      </c>
      <c r="K8" s="156">
        <f>SUM(K5:$O5)/$P5</f>
        <v>0.34449772471497775</v>
      </c>
      <c r="L8" s="156">
        <f>SUM(L5:$O5)/$P5</f>
        <v>0.2269413318980281</v>
      </c>
      <c r="M8" s="156">
        <f>SUM(M5:$O5)/$P5</f>
        <v>0.13299407936585603</v>
      </c>
      <c r="N8" s="156">
        <f>SUM(N5:$O5)/$P5</f>
        <v>0.06397710035719527</v>
      </c>
      <c r="O8" s="157">
        <f>SUM(O5:$O5)/$P5</f>
        <v>0.026544991926407982</v>
      </c>
      <c r="P8" s="162"/>
    </row>
    <row r="9" spans="1:18" ht="12.75">
      <c r="A9" s="1">
        <v>9</v>
      </c>
      <c r="B9" s="161" t="s">
        <v>172</v>
      </c>
      <c r="C9" s="161">
        <v>0</v>
      </c>
      <c r="D9" s="158">
        <f aca="true" t="shared" si="0" ref="D9:O9">D7-C7</f>
        <v>0.035646132015462156</v>
      </c>
      <c r="E9" s="159">
        <f t="shared" si="0"/>
        <v>0.06028282037481039</v>
      </c>
      <c r="F9" s="159">
        <f t="shared" si="0"/>
        <v>0.0834271174829965</v>
      </c>
      <c r="G9" s="159">
        <f t="shared" si="0"/>
        <v>0.10936047365073151</v>
      </c>
      <c r="H9" s="159">
        <f t="shared" si="0"/>
        <v>0.12817438958751287</v>
      </c>
      <c r="I9" s="159">
        <f t="shared" si="0"/>
        <v>0.12257180603806822</v>
      </c>
      <c r="J9" s="159">
        <f t="shared" si="0"/>
        <v>0.1160395361354406</v>
      </c>
      <c r="K9" s="159">
        <f t="shared" si="0"/>
        <v>0.11755639281694974</v>
      </c>
      <c r="L9" s="159">
        <f t="shared" si="0"/>
        <v>0.09394725253217195</v>
      </c>
      <c r="M9" s="159">
        <f t="shared" si="0"/>
        <v>0.06901697900866077</v>
      </c>
      <c r="N9" s="159">
        <f t="shared" si="0"/>
        <v>0.03743210843078726</v>
      </c>
      <c r="O9" s="160">
        <f t="shared" si="0"/>
        <v>0.026544991926408024</v>
      </c>
      <c r="P9" s="162">
        <f>SUM(D9:O9)</f>
        <v>1</v>
      </c>
      <c r="R9" s="1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Y57"/>
  <sheetViews>
    <sheetView showGridLine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1" sqref="F31"/>
    </sheetView>
  </sheetViews>
  <sheetFormatPr defaultColWidth="11.421875" defaultRowHeight="12.75" outlineLevelRow="1"/>
  <cols>
    <col min="1" max="1" width="4.00390625" style="0" customWidth="1"/>
    <col min="2" max="2" width="6.7109375" style="0" customWidth="1"/>
    <col min="3" max="3" width="16.8515625" style="0" customWidth="1"/>
    <col min="4" max="4" width="17.8515625" style="0" bestFit="1" customWidth="1"/>
    <col min="5" max="5" width="10.00390625" style="0" customWidth="1"/>
    <col min="6" max="6" width="12.28125" style="0" bestFit="1" customWidth="1"/>
    <col min="7" max="7" width="10.140625" style="0" customWidth="1"/>
    <col min="8" max="8" width="10.28125" style="0" customWidth="1"/>
    <col min="9" max="10" width="9.28125" style="0" customWidth="1"/>
    <col min="11" max="11" width="7.7109375" style="0" hidden="1" customWidth="1"/>
    <col min="12" max="12" width="9.140625" style="0" hidden="1" customWidth="1"/>
    <col min="13" max="13" width="8.7109375" style="0" customWidth="1"/>
    <col min="14" max="14" width="8.140625" style="0" customWidth="1"/>
    <col min="15" max="15" width="8.57421875" style="0" customWidth="1"/>
    <col min="16" max="16" width="8.421875" style="0" bestFit="1" customWidth="1"/>
    <col min="17" max="17" width="11.28125" style="0" customWidth="1"/>
    <col min="18" max="18" width="9.00390625" style="0" customWidth="1"/>
    <col min="19" max="19" width="8.7109375" style="0" customWidth="1"/>
    <col min="20" max="20" width="12.8515625" style="0" customWidth="1"/>
    <col min="21" max="21" width="9.28125" style="0" customWidth="1"/>
    <col min="22" max="22" width="10.00390625" style="0" customWidth="1"/>
    <col min="23" max="23" width="11.7109375" style="0" customWidth="1"/>
    <col min="24" max="24" width="10.140625" style="0" customWidth="1"/>
    <col min="25" max="25" width="19.421875" style="0" bestFit="1" customWidth="1"/>
  </cols>
  <sheetData>
    <row r="1" spans="1:24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5" s="15" customFormat="1" ht="53.25" customHeight="1">
      <c r="A2" s="51" t="s">
        <v>3</v>
      </c>
      <c r="B2" s="51" t="s">
        <v>3</v>
      </c>
      <c r="C2" s="51" t="s">
        <v>0</v>
      </c>
      <c r="D2" s="51" t="s">
        <v>13</v>
      </c>
      <c r="E2" s="51" t="s">
        <v>4</v>
      </c>
      <c r="F2" s="51" t="s">
        <v>5</v>
      </c>
      <c r="G2" s="51" t="s">
        <v>36</v>
      </c>
      <c r="H2" s="51" t="s">
        <v>38</v>
      </c>
      <c r="I2" s="51" t="s">
        <v>39</v>
      </c>
      <c r="J2" s="52" t="s">
        <v>37</v>
      </c>
      <c r="K2" s="51" t="s">
        <v>57</v>
      </c>
      <c r="L2" s="51" t="s">
        <v>21</v>
      </c>
      <c r="M2" s="51" t="s">
        <v>20</v>
      </c>
      <c r="N2" s="51" t="s">
        <v>19</v>
      </c>
      <c r="O2" s="51" t="s">
        <v>52</v>
      </c>
      <c r="P2" s="51" t="s">
        <v>43</v>
      </c>
      <c r="Q2" s="51" t="s">
        <v>44</v>
      </c>
      <c r="R2" s="51" t="s">
        <v>18</v>
      </c>
      <c r="S2" s="51" t="s">
        <v>10</v>
      </c>
      <c r="T2" s="51" t="s">
        <v>40</v>
      </c>
      <c r="U2" s="51" t="s">
        <v>56</v>
      </c>
      <c r="V2" s="53" t="s">
        <v>74</v>
      </c>
      <c r="W2" s="53" t="s">
        <v>79</v>
      </c>
      <c r="X2" s="51" t="s">
        <v>80</v>
      </c>
      <c r="Y2" s="6"/>
    </row>
    <row r="3" spans="1:25" ht="12.75" outlineLevel="1">
      <c r="A3" s="101">
        <v>0</v>
      </c>
      <c r="B3" s="102">
        <f>YEAR(C3)</f>
        <v>2007</v>
      </c>
      <c r="C3" s="67">
        <f>E29</f>
        <v>39234</v>
      </c>
      <c r="D3" s="67"/>
      <c r="E3" s="103"/>
      <c r="F3" s="44"/>
      <c r="G3" s="44"/>
      <c r="H3" s="44"/>
      <c r="I3" s="44"/>
      <c r="J3" s="37"/>
      <c r="K3" s="44"/>
      <c r="L3" s="44"/>
      <c r="M3" s="38">
        <v>0.1</v>
      </c>
      <c r="N3" s="38"/>
      <c r="O3" s="38">
        <f>$E$30</f>
        <v>20000</v>
      </c>
      <c r="P3" s="44"/>
      <c r="Q3" s="38"/>
      <c r="R3" s="44"/>
      <c r="S3" s="38">
        <f>-E30*(1-E43)</f>
        <v>-20000</v>
      </c>
      <c r="T3" s="38"/>
      <c r="U3" s="38">
        <f>S3</f>
        <v>-20000</v>
      </c>
      <c r="V3" s="38">
        <f aca="true" t="shared" si="0" ref="V3:V24">U3*(1+($E$46*(1-$E$45)))^(-(C3-$C$3)/365)</f>
        <v>-20000</v>
      </c>
      <c r="W3" s="55">
        <f>V3</f>
        <v>-20000</v>
      </c>
      <c r="X3" s="55">
        <f>U3</f>
        <v>-20000</v>
      </c>
      <c r="Y3" s="13"/>
    </row>
    <row r="4" spans="1:25" ht="12.75" outlineLevel="1">
      <c r="A4" s="21">
        <v>1</v>
      </c>
      <c r="B4" s="27">
        <f>B3</f>
        <v>2007</v>
      </c>
      <c r="C4" s="29">
        <f>DATE(YEAR(C3),12,31)</f>
        <v>39447</v>
      </c>
      <c r="D4" s="30">
        <f aca="true" t="shared" si="1" ref="D4:D24">C4-C3</f>
        <v>213</v>
      </c>
      <c r="E4" s="32">
        <f>$E$33*$E$31*(INDEX(Einstrahlung!D7:O8,2,MONTH(C3)))*(1-(C4-C3)/365*$E$40)</f>
        <v>2466.6440113653643</v>
      </c>
      <c r="F4" s="30">
        <f aca="true" t="shared" si="2" ref="F4:F24">E4*$E$34</f>
        <v>1213.8355179928958</v>
      </c>
      <c r="G4" s="30">
        <f>-$E$35*(C4-C3)/365*(1+$E$42)^((C4-$C$3)/365)</f>
        <v>-15.939299587980964</v>
      </c>
      <c r="H4" s="32">
        <f>-($E$36*$O$3)*(C4-C3)/365*(1+$E$42)^((C4-$C$3)/365)</f>
        <v>-88.55166437767203</v>
      </c>
      <c r="I4" s="32">
        <f>-($E$37*$O$3)*(C4-C3)/365*(1+$E$42)^((C4-$C$3)/365)</f>
        <v>-59.034442918448015</v>
      </c>
      <c r="J4" s="34">
        <f>SUM(G4:I4)</f>
        <v>-163.52540688410102</v>
      </c>
      <c r="K4" s="32">
        <f>-($E$30/$E$48*$E$43+SUM($L3:L$4))*$E$47*(C4-C3)/365</f>
        <v>0</v>
      </c>
      <c r="L4" s="32">
        <f>IF(AND((C4-$C$3)/365&gt;2,(C4-$C$3)/365&lt;12),-(C4-$C$3)/365/$E$49*$O$3/$E$48,0)</f>
        <v>0</v>
      </c>
      <c r="M4" s="32">
        <f>-$O$3*$E$39*(C4-C3)/365</f>
        <v>-1167.123287671233</v>
      </c>
      <c r="N4" s="32">
        <f>-$O$3*$E$38*(C4-C3)/365</f>
        <v>-583.5616438356165</v>
      </c>
      <c r="O4" s="32">
        <f aca="true" t="shared" si="3" ref="O4:O24">O3+M4</f>
        <v>18832.87671232877</v>
      </c>
      <c r="P4" s="32">
        <f>J4+K4+N4+R4</f>
        <v>-910.4490142653299</v>
      </c>
      <c r="Q4" s="32">
        <f>(F4+J4+K4+N4)</f>
        <v>466.74846727317845</v>
      </c>
      <c r="R4" s="32">
        <f aca="true" t="shared" si="4" ref="R4:R24">-Q4*$E$44</f>
        <v>-163.36196354561244</v>
      </c>
      <c r="S4" s="32">
        <f>J4+K4+R4+L4</f>
        <v>-326.8873704297134</v>
      </c>
      <c r="T4" s="36">
        <f aca="true" t="shared" si="5" ref="T4:T24">-(J4+K4+N4+R4)/E4</f>
        <v>0.3691043417981373</v>
      </c>
      <c r="U4" s="32">
        <f aca="true" t="shared" si="6" ref="U4:U24">F4+S4</f>
        <v>886.9481475631824</v>
      </c>
      <c r="V4" s="32">
        <f t="shared" si="0"/>
        <v>868.0968612306801</v>
      </c>
      <c r="W4" s="20">
        <f aca="true" t="shared" si="7" ref="W4:W23">V4+W3</f>
        <v>-19131.90313876932</v>
      </c>
      <c r="X4" s="20">
        <f>U4+X3</f>
        <v>-19113.051852436816</v>
      </c>
      <c r="Y4" s="13"/>
    </row>
    <row r="5" spans="1:25" ht="12.75" outlineLevel="1">
      <c r="A5" s="104">
        <v>2</v>
      </c>
      <c r="B5" s="27">
        <f aca="true" t="shared" si="8" ref="B5:B24">B4+1</f>
        <v>2008</v>
      </c>
      <c r="C5" s="29">
        <f>DATE(YEAR(C4)+1,12,31)</f>
        <v>39813</v>
      </c>
      <c r="D5" s="30">
        <f t="shared" si="1"/>
        <v>366</v>
      </c>
      <c r="E5" s="32">
        <f aca="true" t="shared" si="9" ref="E5:E24">$E$33*$E$31*(C5-C4)/365*(1-(C5-$C$3)/365*$E$40)</f>
        <v>4207.561823981985</v>
      </c>
      <c r="F5" s="30">
        <f>E5*$E$34</f>
        <v>2070.5411735815346</v>
      </c>
      <c r="G5" s="30">
        <f aca="true" t="shared" si="10" ref="G5:G24">-$E$35*(1+$E$42)^((C5-$C$3)/365)</f>
        <v>-27.86161125891237</v>
      </c>
      <c r="H5" s="32">
        <f aca="true" t="shared" si="11" ref="H5:H24">-($E$36*$O$3)*(1+$E$42)^((C5-$C$3)/365)</f>
        <v>-154.78672921617982</v>
      </c>
      <c r="I5" s="32">
        <f aca="true" t="shared" si="12" ref="I5:I24">-($E$37*$O$3)*(1+$E$42)^((C5-$C$3)/365)</f>
        <v>-103.19115281078655</v>
      </c>
      <c r="J5" s="34">
        <f aca="true" t="shared" si="13" ref="J5:J24">SUM(G5:I5)</f>
        <v>-285.83949328587875</v>
      </c>
      <c r="K5" s="32">
        <f>-($E$30/$E$48*$E$43+SUM($L4:L$4))*$E$47*(C5-C4)/365</f>
        <v>0</v>
      </c>
      <c r="L5" s="32">
        <f>IF(AND((C5-$C$3)/365&gt;2,(C5-$C$3)/365&lt;12),-(C5-$C$3)/365/$E$49*$O$3/$E$48,0)</f>
        <v>0</v>
      </c>
      <c r="M5" s="32">
        <f>IF(O4/ROWS(M5:$M$23)&lt;O4*$E$39,-O4*$E$39,-O4/ROWS(M5:$M$23))</f>
        <v>-1883.287671232877</v>
      </c>
      <c r="N5" s="32">
        <f aca="true" t="shared" si="14" ref="N5:N23">-$O$3*$E$38</f>
        <v>-1000</v>
      </c>
      <c r="O5" s="32">
        <f t="shared" si="3"/>
        <v>16949.589041095893</v>
      </c>
      <c r="P5" s="32">
        <f aca="true" t="shared" si="15" ref="P5:P24">J5+K5+N5+R5</f>
        <v>-1560.4850813893581</v>
      </c>
      <c r="Q5" s="32">
        <f aca="true" t="shared" si="16" ref="Q5:Q24">(F5+J5+K5+N5)</f>
        <v>784.7016802956559</v>
      </c>
      <c r="R5" s="32">
        <f t="shared" si="4"/>
        <v>-274.64558810347955</v>
      </c>
      <c r="S5" s="32">
        <f aca="true" t="shared" si="17" ref="S5:S24">J5+K5+R5+L5</f>
        <v>-560.4850813893584</v>
      </c>
      <c r="T5" s="36">
        <f t="shared" si="5"/>
        <v>0.37087632854139124</v>
      </c>
      <c r="U5" s="32">
        <f t="shared" si="6"/>
        <v>1510.0560921921763</v>
      </c>
      <c r="V5" s="32">
        <f t="shared" si="0"/>
        <v>1424.3972492980652</v>
      </c>
      <c r="W5" s="20">
        <f t="shared" si="7"/>
        <v>-17707.505889471257</v>
      </c>
      <c r="X5" s="20">
        <f aca="true" t="shared" si="18" ref="X5:X24">U5+X4</f>
        <v>-17602.99576024464</v>
      </c>
      <c r="Y5" s="4"/>
    </row>
    <row r="6" spans="1:25" ht="12.75" outlineLevel="1">
      <c r="A6" s="21">
        <v>3</v>
      </c>
      <c r="B6" s="27">
        <f t="shared" si="8"/>
        <v>2009</v>
      </c>
      <c r="C6" s="29">
        <f aca="true" t="shared" si="19" ref="C6:C24">DATE(YEAR(C5)+1,12,31)</f>
        <v>40178</v>
      </c>
      <c r="D6" s="30">
        <f t="shared" si="1"/>
        <v>365</v>
      </c>
      <c r="E6" s="32">
        <f t="shared" si="9"/>
        <v>4162.0657534246575</v>
      </c>
      <c r="F6" s="30">
        <f t="shared" si="2"/>
        <v>2048.152557260274</v>
      </c>
      <c r="G6" s="30">
        <f t="shared" si="10"/>
        <v>-28.418843484090615</v>
      </c>
      <c r="H6" s="32">
        <f t="shared" si="11"/>
        <v>-157.88246380050342</v>
      </c>
      <c r="I6" s="32">
        <f t="shared" si="12"/>
        <v>-105.25497586700227</v>
      </c>
      <c r="J6" s="34">
        <f t="shared" si="13"/>
        <v>-291.5562831515963</v>
      </c>
      <c r="K6" s="32">
        <f>-($E$30/$E$48*$E$43+SUM($L$4:L5))*$E$47*(C6-C5)/365</f>
        <v>0</v>
      </c>
      <c r="L6" s="32">
        <f aca="true" t="shared" si="20" ref="L6:L17">IF(AND((C6-$C$3)/365&gt;$E$50,(C6-$C$3)/365&lt;($E$49+$E$50)),-$E$30*$E$43/$E$48/$E$49,0)</f>
        <v>0</v>
      </c>
      <c r="M6" s="32">
        <f>IF(O5/ROWS(M6:$M$23)&lt;O5*$E$39,-O5*$E$39,-O5/ROWS(M6:$M$23))</f>
        <v>-1694.9589041095894</v>
      </c>
      <c r="N6" s="32">
        <f t="shared" si="14"/>
        <v>-1000</v>
      </c>
      <c r="O6" s="32">
        <f t="shared" si="3"/>
        <v>15254.630136986303</v>
      </c>
      <c r="P6" s="32">
        <f t="shared" si="15"/>
        <v>-1556.3649790896334</v>
      </c>
      <c r="Q6" s="32">
        <f t="shared" si="16"/>
        <v>756.5962741086778</v>
      </c>
      <c r="R6" s="32">
        <f t="shared" si="4"/>
        <v>-264.8086959380372</v>
      </c>
      <c r="S6" s="32">
        <f t="shared" si="17"/>
        <v>-556.3649790896335</v>
      </c>
      <c r="T6" s="36">
        <f t="shared" si="5"/>
        <v>0.3739405072610915</v>
      </c>
      <c r="U6" s="32">
        <f t="shared" si="6"/>
        <v>1491.7875781706407</v>
      </c>
      <c r="V6" s="32">
        <f t="shared" si="0"/>
        <v>1356.3036412109611</v>
      </c>
      <c r="W6" s="20">
        <f t="shared" si="7"/>
        <v>-16351.202248260295</v>
      </c>
      <c r="X6" s="20">
        <f t="shared" si="18"/>
        <v>-16111.208182074</v>
      </c>
      <c r="Y6" s="4"/>
    </row>
    <row r="7" spans="1:25" ht="12.75" outlineLevel="1">
      <c r="A7" s="104">
        <v>4</v>
      </c>
      <c r="B7" s="27">
        <f t="shared" si="8"/>
        <v>2010</v>
      </c>
      <c r="C7" s="29">
        <f t="shared" si="19"/>
        <v>40543</v>
      </c>
      <c r="D7" s="30">
        <f t="shared" si="1"/>
        <v>365</v>
      </c>
      <c r="E7" s="32">
        <f t="shared" si="9"/>
        <v>4128.0657534246575</v>
      </c>
      <c r="F7" s="30">
        <f t="shared" si="2"/>
        <v>2031.421157260274</v>
      </c>
      <c r="G7" s="30">
        <f t="shared" si="10"/>
        <v>-28.987220353772425</v>
      </c>
      <c r="H7" s="32">
        <f t="shared" si="11"/>
        <v>-161.04011307651348</v>
      </c>
      <c r="I7" s="32">
        <f t="shared" si="12"/>
        <v>-107.36007538434231</v>
      </c>
      <c r="J7" s="34">
        <f t="shared" si="13"/>
        <v>-297.3874088146282</v>
      </c>
      <c r="K7" s="32">
        <f>-($E$30/$E$48*$E$43+SUM($L$4:L6))*$E$47*(C7-C6)/365</f>
        <v>0</v>
      </c>
      <c r="L7" s="32">
        <f t="shared" si="20"/>
        <v>0</v>
      </c>
      <c r="M7" s="32">
        <f>IF(O6/ROWS(M7:$M$23)&lt;O6*$E$39,-O6*$E$39,-O6/ROWS(M7:$M$23))</f>
        <v>-1525.4630136986304</v>
      </c>
      <c r="N7" s="32">
        <f t="shared" si="14"/>
        <v>-1000</v>
      </c>
      <c r="O7" s="32">
        <f t="shared" si="3"/>
        <v>13729.167123287672</v>
      </c>
      <c r="P7" s="32">
        <f t="shared" si="15"/>
        <v>-1554.299220770604</v>
      </c>
      <c r="Q7" s="32">
        <f t="shared" si="16"/>
        <v>734.0337484456459</v>
      </c>
      <c r="R7" s="32">
        <f t="shared" si="4"/>
        <v>-256.911811955976</v>
      </c>
      <c r="S7" s="32">
        <f t="shared" si="17"/>
        <v>-554.2992207706043</v>
      </c>
      <c r="T7" s="36">
        <f t="shared" si="5"/>
        <v>0.37651997657284214</v>
      </c>
      <c r="U7" s="32">
        <f t="shared" si="6"/>
        <v>1477.1219364896697</v>
      </c>
      <c r="V7" s="32">
        <f t="shared" si="0"/>
        <v>1294.4288491896054</v>
      </c>
      <c r="W7" s="20">
        <f t="shared" si="7"/>
        <v>-15056.77339907069</v>
      </c>
      <c r="X7" s="20">
        <f t="shared" si="18"/>
        <v>-14634.08624558433</v>
      </c>
      <c r="Y7" s="4"/>
    </row>
    <row r="8" spans="1:25" ht="12.75" outlineLevel="1">
      <c r="A8" s="21">
        <v>5</v>
      </c>
      <c r="B8" s="27">
        <f t="shared" si="8"/>
        <v>2011</v>
      </c>
      <c r="C8" s="29">
        <f t="shared" si="19"/>
        <v>40908</v>
      </c>
      <c r="D8" s="30">
        <f t="shared" si="1"/>
        <v>365</v>
      </c>
      <c r="E8" s="32">
        <f t="shared" si="9"/>
        <v>4094.0657534246575</v>
      </c>
      <c r="F8" s="30">
        <f t="shared" si="2"/>
        <v>2014.6897572602738</v>
      </c>
      <c r="G8" s="30">
        <f t="shared" si="10"/>
        <v>-29.566964760847878</v>
      </c>
      <c r="H8" s="32">
        <f t="shared" si="11"/>
        <v>-164.26091533804376</v>
      </c>
      <c r="I8" s="32">
        <f t="shared" si="12"/>
        <v>-109.50727689202917</v>
      </c>
      <c r="J8" s="34">
        <f t="shared" si="13"/>
        <v>-303.3351569909208</v>
      </c>
      <c r="K8" s="32">
        <f>-($E$30/$E$48*$E$43+SUM($L$4:L7))*$E$47*(C8-C7)/365</f>
        <v>0</v>
      </c>
      <c r="L8" s="32">
        <f t="shared" si="20"/>
        <v>0</v>
      </c>
      <c r="M8" s="32">
        <f>IF(O7/ROWS(M8:$M$23)&lt;O7*$E$39,-O7*$E$39,-O7/ROWS(M8:$M$23))</f>
        <v>-1372.9167123287673</v>
      </c>
      <c r="N8" s="32">
        <f t="shared" si="14"/>
        <v>-1000</v>
      </c>
      <c r="O8" s="32">
        <f t="shared" si="3"/>
        <v>12356.250410958904</v>
      </c>
      <c r="P8" s="32">
        <f t="shared" si="15"/>
        <v>-1552.3092670851943</v>
      </c>
      <c r="Q8" s="32">
        <f t="shared" si="16"/>
        <v>711.3546002693531</v>
      </c>
      <c r="R8" s="32">
        <f t="shared" si="4"/>
        <v>-248.97411009427358</v>
      </c>
      <c r="S8" s="32">
        <f t="shared" si="17"/>
        <v>-552.3092670851944</v>
      </c>
      <c r="T8" s="36">
        <f t="shared" si="5"/>
        <v>0.379160805071755</v>
      </c>
      <c r="U8" s="32">
        <f t="shared" si="6"/>
        <v>1462.3804901750796</v>
      </c>
      <c r="V8" s="32">
        <f t="shared" si="0"/>
        <v>1235.1909892663296</v>
      </c>
      <c r="W8" s="20">
        <f t="shared" si="7"/>
        <v>-13821.58240980436</v>
      </c>
      <c r="X8" s="20">
        <f t="shared" si="18"/>
        <v>-13171.705755409252</v>
      </c>
      <c r="Y8" s="4"/>
    </row>
    <row r="9" spans="1:25" ht="12.75" outlineLevel="1">
      <c r="A9" s="104">
        <v>6</v>
      </c>
      <c r="B9" s="27">
        <f t="shared" si="8"/>
        <v>2012</v>
      </c>
      <c r="C9" s="29">
        <f t="shared" si="19"/>
        <v>41274</v>
      </c>
      <c r="D9" s="30">
        <f t="shared" si="1"/>
        <v>366</v>
      </c>
      <c r="E9" s="32">
        <f t="shared" si="9"/>
        <v>4071.0958153499714</v>
      </c>
      <c r="F9" s="30">
        <f t="shared" si="2"/>
        <v>2003.3862507337208</v>
      </c>
      <c r="G9" s="30">
        <f t="shared" si="10"/>
        <v>-30.15994030224551</v>
      </c>
      <c r="H9" s="32">
        <f t="shared" si="11"/>
        <v>-167.55522390136395</v>
      </c>
      <c r="I9" s="32">
        <f t="shared" si="12"/>
        <v>-111.7034826009093</v>
      </c>
      <c r="J9" s="34">
        <f t="shared" si="13"/>
        <v>-309.41864680451874</v>
      </c>
      <c r="K9" s="32">
        <f>-($E$30/$E$48*$E$43+SUM($L$4:L8))*$E$47*(C9-C8)/365</f>
        <v>0</v>
      </c>
      <c r="L9" s="32">
        <f t="shared" si="20"/>
        <v>0</v>
      </c>
      <c r="M9" s="32">
        <f>IF(O8/ROWS(M9:$M$23)&lt;O8*$E$39,-O8*$E$39,-O8/ROWS(M9:$M$23))</f>
        <v>-1235.6250410958905</v>
      </c>
      <c r="N9" s="32">
        <f t="shared" si="14"/>
        <v>-1000</v>
      </c>
      <c r="O9" s="32">
        <f t="shared" si="3"/>
        <v>11120.625369863013</v>
      </c>
      <c r="P9" s="32">
        <f t="shared" si="15"/>
        <v>-1552.3073081797393</v>
      </c>
      <c r="Q9" s="32">
        <f t="shared" si="16"/>
        <v>693.9676039292021</v>
      </c>
      <c r="R9" s="32">
        <f t="shared" si="4"/>
        <v>-242.88866137522072</v>
      </c>
      <c r="S9" s="32">
        <f t="shared" si="17"/>
        <v>-552.3073081797395</v>
      </c>
      <c r="T9" s="36">
        <f t="shared" si="5"/>
        <v>0.3812996251099768</v>
      </c>
      <c r="U9" s="32">
        <f t="shared" si="6"/>
        <v>1451.0789425539813</v>
      </c>
      <c r="V9" s="32">
        <f t="shared" si="0"/>
        <v>1181.2256305086855</v>
      </c>
      <c r="W9" s="20">
        <f t="shared" si="7"/>
        <v>-12640.356779295675</v>
      </c>
      <c r="X9" s="20">
        <f t="shared" si="18"/>
        <v>-11720.626812855271</v>
      </c>
      <c r="Y9" s="4"/>
    </row>
    <row r="10" spans="1:25" ht="12.75" outlineLevel="1">
      <c r="A10" s="21">
        <v>7</v>
      </c>
      <c r="B10" s="27">
        <f t="shared" si="8"/>
        <v>2013</v>
      </c>
      <c r="C10" s="29">
        <f t="shared" si="19"/>
        <v>41639</v>
      </c>
      <c r="D10" s="30">
        <f t="shared" si="1"/>
        <v>365</v>
      </c>
      <c r="E10" s="32">
        <f t="shared" si="9"/>
        <v>4025.972602739726</v>
      </c>
      <c r="F10" s="30">
        <f t="shared" si="2"/>
        <v>1981.1811178082191</v>
      </c>
      <c r="G10" s="30">
        <f t="shared" si="10"/>
        <v>-30.763139108290417</v>
      </c>
      <c r="H10" s="32">
        <f t="shared" si="11"/>
        <v>-170.90632837939123</v>
      </c>
      <c r="I10" s="32">
        <f t="shared" si="12"/>
        <v>-113.93755225292747</v>
      </c>
      <c r="J10" s="34">
        <f t="shared" si="13"/>
        <v>-315.6070197406091</v>
      </c>
      <c r="K10" s="32">
        <f>-($E$30/$E$48*$E$43+SUM($L$4:L9))*$E$47*(C10-C9)/365</f>
        <v>0</v>
      </c>
      <c r="L10" s="32">
        <f t="shared" si="20"/>
        <v>0</v>
      </c>
      <c r="M10" s="32">
        <f>IF(O9/ROWS(M10:$M$23)&lt;O9*$E$39,-O9*$E$39,-O9/ROWS(M10:$M$23))</f>
        <v>-1112.0625369863014</v>
      </c>
      <c r="N10" s="32">
        <f t="shared" si="14"/>
        <v>-1000</v>
      </c>
      <c r="O10" s="32">
        <f t="shared" si="3"/>
        <v>10008.562832876712</v>
      </c>
      <c r="P10" s="32">
        <f t="shared" si="15"/>
        <v>-1548.5579540642725</v>
      </c>
      <c r="Q10" s="32">
        <f t="shared" si="16"/>
        <v>665.5740980676101</v>
      </c>
      <c r="R10" s="32">
        <f t="shared" si="4"/>
        <v>-232.95093432366352</v>
      </c>
      <c r="S10" s="32">
        <f t="shared" si="17"/>
        <v>-548.5579540642726</v>
      </c>
      <c r="T10" s="36">
        <f t="shared" si="5"/>
        <v>0.3846419503725532</v>
      </c>
      <c r="U10" s="32">
        <f t="shared" si="6"/>
        <v>1432.6231637439464</v>
      </c>
      <c r="V10" s="32">
        <f t="shared" si="0"/>
        <v>1124.0501436706245</v>
      </c>
      <c r="W10" s="20">
        <f t="shared" si="7"/>
        <v>-11516.30663562505</v>
      </c>
      <c r="X10" s="20">
        <f t="shared" si="18"/>
        <v>-10288.003649111324</v>
      </c>
      <c r="Y10" s="4"/>
    </row>
    <row r="11" spans="1:24" ht="12.75" outlineLevel="1">
      <c r="A11" s="104">
        <v>8</v>
      </c>
      <c r="B11" s="27">
        <f t="shared" si="8"/>
        <v>2014</v>
      </c>
      <c r="C11" s="29">
        <f t="shared" si="19"/>
        <v>42004</v>
      </c>
      <c r="D11" s="30">
        <f t="shared" si="1"/>
        <v>365</v>
      </c>
      <c r="E11" s="32">
        <f t="shared" si="9"/>
        <v>3991.972602739726</v>
      </c>
      <c r="F11" s="30">
        <f t="shared" si="2"/>
        <v>1964.449717808219</v>
      </c>
      <c r="G11" s="30">
        <f t="shared" si="10"/>
        <v>-31.37840189045623</v>
      </c>
      <c r="H11" s="32">
        <f t="shared" si="11"/>
        <v>-174.32445494697907</v>
      </c>
      <c r="I11" s="32">
        <f t="shared" si="12"/>
        <v>-116.21630329798604</v>
      </c>
      <c r="J11" s="34">
        <f t="shared" si="13"/>
        <v>-321.91916013542135</v>
      </c>
      <c r="K11" s="32">
        <f>-($E$30/$E$48*$E$43+SUM($L$4:L10))*$E$47*(C11-C10)/365</f>
        <v>0</v>
      </c>
      <c r="L11" s="32">
        <f t="shared" si="20"/>
        <v>0</v>
      </c>
      <c r="M11" s="32">
        <f>IF(O10/ROWS(M11:$M$23)&lt;O10*$E$39,-O10*$E$39,-O10/ROWS(M11:$M$23))</f>
        <v>-1000.8562832876713</v>
      </c>
      <c r="N11" s="32">
        <f t="shared" si="14"/>
        <v>-1000</v>
      </c>
      <c r="O11" s="32">
        <f t="shared" si="3"/>
        <v>9007.706549589042</v>
      </c>
      <c r="P11" s="32">
        <f t="shared" si="15"/>
        <v>-1546.8048553209005</v>
      </c>
      <c r="Q11" s="32">
        <f t="shared" si="16"/>
        <v>642.5305576727976</v>
      </c>
      <c r="R11" s="32">
        <f t="shared" si="4"/>
        <v>-224.88569518547914</v>
      </c>
      <c r="S11" s="32">
        <f t="shared" si="17"/>
        <v>-546.8048553209005</v>
      </c>
      <c r="T11" s="36">
        <f t="shared" si="5"/>
        <v>0.38747882544567436</v>
      </c>
      <c r="U11" s="32">
        <f t="shared" si="6"/>
        <v>1417.6448624873185</v>
      </c>
      <c r="V11" s="32">
        <f t="shared" si="0"/>
        <v>1072.0944790691242</v>
      </c>
      <c r="W11" s="20">
        <f t="shared" si="7"/>
        <v>-10444.212156555925</v>
      </c>
      <c r="X11" s="20">
        <f t="shared" si="18"/>
        <v>-8870.358786624005</v>
      </c>
    </row>
    <row r="12" spans="1:24" ht="12.75" outlineLevel="1">
      <c r="A12" s="21">
        <v>9</v>
      </c>
      <c r="B12" s="27">
        <f t="shared" si="8"/>
        <v>2015</v>
      </c>
      <c r="C12" s="29">
        <f t="shared" si="19"/>
        <v>42369</v>
      </c>
      <c r="D12" s="30">
        <f t="shared" si="1"/>
        <v>365</v>
      </c>
      <c r="E12" s="32">
        <f t="shared" si="9"/>
        <v>3957.972602739726</v>
      </c>
      <c r="F12" s="30">
        <f t="shared" si="2"/>
        <v>1947.7183178082191</v>
      </c>
      <c r="G12" s="30">
        <f t="shared" si="10"/>
        <v>-32.00596992826536</v>
      </c>
      <c r="H12" s="32">
        <f t="shared" si="11"/>
        <v>-177.81094404591863</v>
      </c>
      <c r="I12" s="32">
        <f t="shared" si="12"/>
        <v>-118.54062936394575</v>
      </c>
      <c r="J12" s="34">
        <f t="shared" si="13"/>
        <v>-328.35754333812974</v>
      </c>
      <c r="K12" s="32">
        <f>-($E$30/$E$48*$E$43+SUM($L$4:L11))*$E$47*(C12-C11)/365</f>
        <v>0</v>
      </c>
      <c r="L12" s="32">
        <f t="shared" si="20"/>
        <v>0</v>
      </c>
      <c r="M12" s="32">
        <f>IF(O11/ROWS(M12:$M$23)&lt;O11*$E$39,-O11*$E$39,-O11/ROWS(M12:$M$23))</f>
        <v>-900.7706549589043</v>
      </c>
      <c r="N12" s="32">
        <f t="shared" si="14"/>
        <v>-1000</v>
      </c>
      <c r="O12" s="32">
        <f t="shared" si="3"/>
        <v>8106.935894630138</v>
      </c>
      <c r="P12" s="32">
        <f t="shared" si="15"/>
        <v>-1545.133814402661</v>
      </c>
      <c r="Q12" s="32">
        <f t="shared" si="16"/>
        <v>619.3607744700894</v>
      </c>
      <c r="R12" s="32">
        <f t="shared" si="4"/>
        <v>-216.77627106453127</v>
      </c>
      <c r="S12" s="32">
        <f t="shared" si="17"/>
        <v>-545.1338144026611</v>
      </c>
      <c r="T12" s="36">
        <f t="shared" si="5"/>
        <v>0.390385171775346</v>
      </c>
      <c r="U12" s="32">
        <f t="shared" si="6"/>
        <v>1402.584503405558</v>
      </c>
      <c r="V12" s="32">
        <f t="shared" si="0"/>
        <v>1022.3663389410631</v>
      </c>
      <c r="W12" s="20">
        <f t="shared" si="7"/>
        <v>-9421.845817614862</v>
      </c>
      <c r="X12" s="20">
        <f t="shared" si="18"/>
        <v>-7467.774283218447</v>
      </c>
    </row>
    <row r="13" spans="1:24" ht="12.75" outlineLevel="1">
      <c r="A13" s="104">
        <v>10</v>
      </c>
      <c r="B13" s="27">
        <f t="shared" si="8"/>
        <v>2016</v>
      </c>
      <c r="C13" s="29">
        <f t="shared" si="19"/>
        <v>42735</v>
      </c>
      <c r="D13" s="30">
        <f t="shared" si="1"/>
        <v>366</v>
      </c>
      <c r="E13" s="32">
        <f t="shared" si="9"/>
        <v>3934.629806717958</v>
      </c>
      <c r="F13" s="30">
        <f t="shared" si="2"/>
        <v>1936.2313278859071</v>
      </c>
      <c r="G13" s="30">
        <f t="shared" si="10"/>
        <v>-32.64786054841115</v>
      </c>
      <c r="H13" s="32">
        <f t="shared" si="11"/>
        <v>-181.37700304672862</v>
      </c>
      <c r="I13" s="32">
        <f t="shared" si="12"/>
        <v>-120.91800203115241</v>
      </c>
      <c r="J13" s="34">
        <f t="shared" si="13"/>
        <v>-334.9428656262922</v>
      </c>
      <c r="K13" s="32">
        <f>-($E$30/$E$48*$E$43+SUM($L$4:L12))*$E$47*(C13-C12)/365</f>
        <v>0</v>
      </c>
      <c r="L13" s="32">
        <f t="shared" si="20"/>
        <v>0</v>
      </c>
      <c r="M13" s="32">
        <f>IF(O12/ROWS(M13:$M$23)&lt;O12*$E$39,-O12*$E$39,-O12/ROWS(M13:$M$23))</f>
        <v>-810.6935894630138</v>
      </c>
      <c r="N13" s="32">
        <f t="shared" si="14"/>
        <v>-1000</v>
      </c>
      <c r="O13" s="32">
        <f t="shared" si="3"/>
        <v>7296.242305167124</v>
      </c>
      <c r="P13" s="32">
        <f t="shared" si="15"/>
        <v>-1545.3938274171574</v>
      </c>
      <c r="Q13" s="32">
        <f t="shared" si="16"/>
        <v>601.288462259615</v>
      </c>
      <c r="R13" s="32">
        <f t="shared" si="4"/>
        <v>-210.45096179086525</v>
      </c>
      <c r="S13" s="32">
        <f t="shared" si="17"/>
        <v>-545.3938274171575</v>
      </c>
      <c r="T13" s="36">
        <f t="shared" si="5"/>
        <v>0.3927672750251023</v>
      </c>
      <c r="U13" s="32">
        <f t="shared" si="6"/>
        <v>1390.8375004687496</v>
      </c>
      <c r="V13" s="32">
        <f t="shared" si="0"/>
        <v>977.0616990940676</v>
      </c>
      <c r="W13" s="20">
        <f t="shared" si="7"/>
        <v>-8444.784118520794</v>
      </c>
      <c r="X13" s="20">
        <f t="shared" si="18"/>
        <v>-6076.936782749697</v>
      </c>
    </row>
    <row r="14" spans="1:24" ht="12.75" outlineLevel="1">
      <c r="A14" s="21">
        <v>11</v>
      </c>
      <c r="B14" s="27">
        <f t="shared" si="8"/>
        <v>2017</v>
      </c>
      <c r="C14" s="29">
        <f t="shared" si="19"/>
        <v>43100</v>
      </c>
      <c r="D14" s="30">
        <f t="shared" si="1"/>
        <v>365</v>
      </c>
      <c r="E14" s="32">
        <f t="shared" si="9"/>
        <v>3889.8794520547945</v>
      </c>
      <c r="F14" s="30">
        <f t="shared" si="2"/>
        <v>1914.2096783561642</v>
      </c>
      <c r="G14" s="30">
        <f t="shared" si="10"/>
        <v>-33.30081775937938</v>
      </c>
      <c r="H14" s="32">
        <f t="shared" si="11"/>
        <v>-185.0045431076632</v>
      </c>
      <c r="I14" s="32">
        <f t="shared" si="12"/>
        <v>-123.33636207177547</v>
      </c>
      <c r="J14" s="34">
        <f t="shared" si="13"/>
        <v>-341.6417229388181</v>
      </c>
      <c r="K14" s="32">
        <f>-($E$30/$E$48*$E$43+SUM($L$4:L13))*$E$47*(C14-C13)/365</f>
        <v>0</v>
      </c>
      <c r="L14" s="32">
        <f t="shared" si="20"/>
        <v>0</v>
      </c>
      <c r="M14" s="32">
        <f>IF(O13/ROWS(M14:$M$23)&lt;O13*$E$39,-O13*$E$39,-O13/ROWS(M14:$M$23))</f>
        <v>-729.6242305167124</v>
      </c>
      <c r="N14" s="32">
        <f t="shared" si="14"/>
        <v>-1000</v>
      </c>
      <c r="O14" s="32">
        <f t="shared" si="3"/>
        <v>6566.6180746504115</v>
      </c>
      <c r="P14" s="32">
        <f t="shared" si="15"/>
        <v>-1542.0405073348893</v>
      </c>
      <c r="Q14" s="32">
        <f t="shared" si="16"/>
        <v>572.5679554173462</v>
      </c>
      <c r="R14" s="32">
        <f t="shared" si="4"/>
        <v>-200.39878439607116</v>
      </c>
      <c r="S14" s="32">
        <f t="shared" si="17"/>
        <v>-542.0405073348893</v>
      </c>
      <c r="T14" s="36">
        <f t="shared" si="5"/>
        <v>0.39642372632404327</v>
      </c>
      <c r="U14" s="32">
        <f t="shared" si="6"/>
        <v>1372.169171021275</v>
      </c>
      <c r="V14" s="32">
        <f t="shared" si="0"/>
        <v>929.1057539631901</v>
      </c>
      <c r="W14" s="20">
        <f t="shared" si="7"/>
        <v>-7515.678364557604</v>
      </c>
      <c r="X14" s="20">
        <f t="shared" si="18"/>
        <v>-4704.767611728423</v>
      </c>
    </row>
    <row r="15" spans="1:24" ht="12.75" outlineLevel="1">
      <c r="A15" s="104">
        <v>12</v>
      </c>
      <c r="B15" s="27">
        <f t="shared" si="8"/>
        <v>2018</v>
      </c>
      <c r="C15" s="29">
        <f t="shared" si="19"/>
        <v>43465</v>
      </c>
      <c r="D15" s="30">
        <f t="shared" si="1"/>
        <v>365</v>
      </c>
      <c r="E15" s="32">
        <f t="shared" si="9"/>
        <v>3855.8794520547945</v>
      </c>
      <c r="F15" s="30">
        <f t="shared" si="2"/>
        <v>1897.4782783561643</v>
      </c>
      <c r="G15" s="30">
        <f t="shared" si="10"/>
        <v>-33.966834114566964</v>
      </c>
      <c r="H15" s="32">
        <f t="shared" si="11"/>
        <v>-188.70463396981648</v>
      </c>
      <c r="I15" s="32">
        <f t="shared" si="12"/>
        <v>-125.80308931321098</v>
      </c>
      <c r="J15" s="34">
        <f t="shared" si="13"/>
        <v>-348.4745573975944</v>
      </c>
      <c r="K15" s="32">
        <f>-($E$30/$E$48*$E$43+SUM($L$4:L14))*$E$47*(C15-C14)/365</f>
        <v>0</v>
      </c>
      <c r="L15" s="32">
        <f t="shared" si="20"/>
        <v>0</v>
      </c>
      <c r="M15" s="32">
        <f>IF(O14/ROWS(M15:$M$23)&lt;O14*$E$39,-O14*$E$39,-O14/ROWS(M15:$M$23))</f>
        <v>-729.6242305167124</v>
      </c>
      <c r="N15" s="32">
        <f t="shared" si="14"/>
        <v>-1000</v>
      </c>
      <c r="O15" s="32">
        <f t="shared" si="3"/>
        <v>5836.993844133699</v>
      </c>
      <c r="P15" s="32">
        <f t="shared" si="15"/>
        <v>-1540.6258597330939</v>
      </c>
      <c r="Q15" s="32">
        <f t="shared" si="16"/>
        <v>549.0037209585698</v>
      </c>
      <c r="R15" s="32">
        <f t="shared" si="4"/>
        <v>-192.15130233549942</v>
      </c>
      <c r="S15" s="32">
        <f t="shared" si="17"/>
        <v>-540.6258597330939</v>
      </c>
      <c r="T15" s="36">
        <f t="shared" si="5"/>
        <v>0.3995523923633286</v>
      </c>
      <c r="U15" s="32">
        <f t="shared" si="6"/>
        <v>1356.8524186230704</v>
      </c>
      <c r="V15" s="32">
        <f t="shared" si="0"/>
        <v>885.52739199782</v>
      </c>
      <c r="W15" s="20">
        <f t="shared" si="7"/>
        <v>-6630.150972559784</v>
      </c>
      <c r="X15" s="20">
        <f t="shared" si="18"/>
        <v>-3347.915193105352</v>
      </c>
    </row>
    <row r="16" spans="1:24" ht="12.75" outlineLevel="1">
      <c r="A16" s="21">
        <v>13</v>
      </c>
      <c r="B16" s="27">
        <f t="shared" si="8"/>
        <v>2019</v>
      </c>
      <c r="C16" s="29">
        <f t="shared" si="19"/>
        <v>43830</v>
      </c>
      <c r="D16" s="30">
        <f t="shared" si="1"/>
        <v>365</v>
      </c>
      <c r="E16" s="32">
        <f t="shared" si="9"/>
        <v>3821.8794520547945</v>
      </c>
      <c r="F16" s="30">
        <f t="shared" si="2"/>
        <v>1880.7468783561642</v>
      </c>
      <c r="G16" s="30">
        <f t="shared" si="10"/>
        <v>-34.64617079685831</v>
      </c>
      <c r="H16" s="32">
        <f t="shared" si="11"/>
        <v>-192.4787266492128</v>
      </c>
      <c r="I16" s="32">
        <f t="shared" si="12"/>
        <v>-128.3191510994752</v>
      </c>
      <c r="J16" s="34">
        <f t="shared" si="13"/>
        <v>-355.4440485455463</v>
      </c>
      <c r="K16" s="32">
        <f>-($E$30/$E$48*$E$43+SUM($L$4:L15))*$E$47*(C16-C15)/365</f>
        <v>0</v>
      </c>
      <c r="L16" s="32">
        <f t="shared" si="20"/>
        <v>0</v>
      </c>
      <c r="M16" s="32">
        <f>IF(O15/ROWS(M16:$M$23)&lt;O15*$E$39,-O15*$E$39,-O15/ROWS(M16:$M$23))</f>
        <v>-729.6242305167124</v>
      </c>
      <c r="N16" s="32">
        <f t="shared" si="14"/>
        <v>-1000</v>
      </c>
      <c r="O16" s="32">
        <f t="shared" si="3"/>
        <v>5107.3696136169865</v>
      </c>
      <c r="P16" s="32">
        <f t="shared" si="15"/>
        <v>-1539.3000389792626</v>
      </c>
      <c r="Q16" s="32">
        <f t="shared" si="16"/>
        <v>525.3028298106178</v>
      </c>
      <c r="R16" s="32">
        <f t="shared" si="4"/>
        <v>-183.85599043371622</v>
      </c>
      <c r="S16" s="32">
        <f t="shared" si="17"/>
        <v>-539.3000389792626</v>
      </c>
      <c r="T16" s="36">
        <f t="shared" si="5"/>
        <v>0.402759966212873</v>
      </c>
      <c r="U16" s="32">
        <f t="shared" si="6"/>
        <v>1341.4468393769016</v>
      </c>
      <c r="V16" s="32">
        <f t="shared" si="0"/>
        <v>843.829584904072</v>
      </c>
      <c r="W16" s="20">
        <f t="shared" si="7"/>
        <v>-5786.321387655712</v>
      </c>
      <c r="X16" s="20">
        <f t="shared" si="18"/>
        <v>-2006.4683537284504</v>
      </c>
    </row>
    <row r="17" spans="1:24" ht="12.75" outlineLevel="1">
      <c r="A17" s="104">
        <v>14</v>
      </c>
      <c r="B17" s="27">
        <f t="shared" si="8"/>
        <v>2020</v>
      </c>
      <c r="C17" s="29">
        <f t="shared" si="19"/>
        <v>44196</v>
      </c>
      <c r="D17" s="30">
        <f t="shared" si="1"/>
        <v>366</v>
      </c>
      <c r="E17" s="32">
        <f t="shared" si="9"/>
        <v>3798.1637980859446</v>
      </c>
      <c r="F17" s="30">
        <f t="shared" si="2"/>
        <v>1869.0764050380933</v>
      </c>
      <c r="G17" s="30">
        <f t="shared" si="10"/>
        <v>-35.34101154401631</v>
      </c>
      <c r="H17" s="32">
        <f t="shared" si="11"/>
        <v>-196.33895302231284</v>
      </c>
      <c r="I17" s="32">
        <f t="shared" si="12"/>
        <v>-130.89263534820856</v>
      </c>
      <c r="J17" s="34">
        <f t="shared" si="13"/>
        <v>-362.5725999145377</v>
      </c>
      <c r="K17" s="32">
        <f>-($E$30/$E$48*$E$43+SUM($L$4:L16))*$E$47*(C17-C16)/365</f>
        <v>0</v>
      </c>
      <c r="L17" s="32">
        <f t="shared" si="20"/>
        <v>0</v>
      </c>
      <c r="M17" s="32">
        <f>IF(O16/ROWS(M17:$M$23)&lt;O16*$E$39,-O16*$E$39,-O16/ROWS(M17:$M$23))</f>
        <v>-729.6242305167124</v>
      </c>
      <c r="N17" s="32">
        <f t="shared" si="14"/>
        <v>-1000</v>
      </c>
      <c r="O17" s="32">
        <f t="shared" si="3"/>
        <v>4377.745383100274</v>
      </c>
      <c r="P17" s="32">
        <f t="shared" si="15"/>
        <v>-1539.8489317077822</v>
      </c>
      <c r="Q17" s="32">
        <f t="shared" si="16"/>
        <v>506.5038051235556</v>
      </c>
      <c r="R17" s="32">
        <f t="shared" si="4"/>
        <v>-177.27633179324445</v>
      </c>
      <c r="S17" s="32">
        <f t="shared" si="17"/>
        <v>-539.8489317077822</v>
      </c>
      <c r="T17" s="36">
        <f t="shared" si="5"/>
        <v>0.4054193061615134</v>
      </c>
      <c r="U17" s="32">
        <f t="shared" si="6"/>
        <v>1329.227473330311</v>
      </c>
      <c r="V17" s="32">
        <f t="shared" si="0"/>
        <v>805.8397418379129</v>
      </c>
      <c r="W17" s="20">
        <f t="shared" si="7"/>
        <v>-4980.481645817799</v>
      </c>
      <c r="X17" s="20">
        <f t="shared" si="18"/>
        <v>-677.2408803981393</v>
      </c>
    </row>
    <row r="18" spans="1:24" ht="12.75" outlineLevel="1">
      <c r="A18" s="21">
        <v>15</v>
      </c>
      <c r="B18" s="27">
        <f t="shared" si="8"/>
        <v>2021</v>
      </c>
      <c r="C18" s="29">
        <f t="shared" si="19"/>
        <v>44561</v>
      </c>
      <c r="D18" s="30">
        <f t="shared" si="1"/>
        <v>365</v>
      </c>
      <c r="E18" s="32">
        <f t="shared" si="9"/>
        <v>3753.786301369863</v>
      </c>
      <c r="F18" s="30">
        <f t="shared" si="2"/>
        <v>1847.2382389041095</v>
      </c>
      <c r="G18" s="30">
        <f t="shared" si="10"/>
        <v>-36.047831774896636</v>
      </c>
      <c r="H18" s="32">
        <f t="shared" si="11"/>
        <v>-200.26573208275911</v>
      </c>
      <c r="I18" s="32">
        <f t="shared" si="12"/>
        <v>-133.51048805517274</v>
      </c>
      <c r="J18" s="34">
        <f t="shared" si="13"/>
        <v>-369.8240519128285</v>
      </c>
      <c r="K18" s="32">
        <f>-($E$30/$E$48*$E$43+SUM($L$4:L17))*$E$47*(C18-C17)/365</f>
        <v>0</v>
      </c>
      <c r="L18" s="32">
        <f>IF(AND((C18-$C$3)/365&gt;$E$50,(C18-$C$3)/365&lt;($E$49+$E$50)),-(C18-$C$3)/365/$E$49*$O$3/$E$48,0)</f>
        <v>0</v>
      </c>
      <c r="M18" s="32">
        <f>IF(O17/ROWS(M18:$M$23)&lt;O17*$E$39,-O17*$E$39,-O17/ROWS(M18:$M$23))</f>
        <v>-729.6242305167124</v>
      </c>
      <c r="N18" s="32">
        <f t="shared" si="14"/>
        <v>-1000</v>
      </c>
      <c r="O18" s="32">
        <f t="shared" si="3"/>
        <v>3648.1211525835615</v>
      </c>
      <c r="P18" s="32">
        <f t="shared" si="15"/>
        <v>-1536.9190173597767</v>
      </c>
      <c r="Q18" s="32">
        <f t="shared" si="16"/>
        <v>477.414186991281</v>
      </c>
      <c r="R18" s="32">
        <f t="shared" si="4"/>
        <v>-167.09496544694832</v>
      </c>
      <c r="S18" s="32">
        <f t="shared" si="17"/>
        <v>-536.9190173597768</v>
      </c>
      <c r="T18" s="36">
        <f t="shared" si="5"/>
        <v>0.40943167617157944</v>
      </c>
      <c r="U18" s="32">
        <f t="shared" si="6"/>
        <v>1310.3192215443328</v>
      </c>
      <c r="V18" s="32">
        <f t="shared" si="0"/>
        <v>765.664266968592</v>
      </c>
      <c r="W18" s="20">
        <f t="shared" si="7"/>
        <v>-4214.817378849208</v>
      </c>
      <c r="X18" s="20">
        <f t="shared" si="18"/>
        <v>633.0783411461935</v>
      </c>
    </row>
    <row r="19" spans="1:24" ht="12.75" outlineLevel="1">
      <c r="A19" s="104">
        <v>16</v>
      </c>
      <c r="B19" s="27">
        <f t="shared" si="8"/>
        <v>2022</v>
      </c>
      <c r="C19" s="29">
        <f t="shared" si="19"/>
        <v>44926</v>
      </c>
      <c r="D19" s="30">
        <f t="shared" si="1"/>
        <v>365</v>
      </c>
      <c r="E19" s="32">
        <f t="shared" si="9"/>
        <v>3719.786301369863</v>
      </c>
      <c r="F19" s="30">
        <f t="shared" si="2"/>
        <v>1830.5068389041094</v>
      </c>
      <c r="G19" s="30">
        <f t="shared" si="10"/>
        <v>-36.76878841039457</v>
      </c>
      <c r="H19" s="32">
        <f t="shared" si="11"/>
        <v>-204.2710467244143</v>
      </c>
      <c r="I19" s="32">
        <f t="shared" si="12"/>
        <v>-136.1806978162762</v>
      </c>
      <c r="J19" s="34">
        <f t="shared" si="13"/>
        <v>-377.22053295108503</v>
      </c>
      <c r="K19" s="32">
        <f>-($E$30/$E$48*$E$43+SUM($L$4:L18))*$E$47*(C19-C18)/365</f>
        <v>0</v>
      </c>
      <c r="L19" s="32">
        <f>IF(AND((C19-$C$3)/365&gt;$E$50,(C19-$C$3)/365&lt;($E$49+$E$50)),-(C19-$C$3)/365/$E$49*$O$3/$E$48,0)</f>
        <v>0</v>
      </c>
      <c r="M19" s="32">
        <f>IF(O18/ROWS(M19:$M$23)&lt;O18*$E$39,-O18*$E$39,-O18/ROWS(M19:$M$23))</f>
        <v>-729.6242305167123</v>
      </c>
      <c r="N19" s="32">
        <f t="shared" si="14"/>
        <v>-1000</v>
      </c>
      <c r="O19" s="32">
        <f t="shared" si="3"/>
        <v>2918.496922066849</v>
      </c>
      <c r="P19" s="32">
        <f t="shared" si="15"/>
        <v>-1535.8707400346436</v>
      </c>
      <c r="Q19" s="32">
        <f t="shared" si="16"/>
        <v>453.28630595302434</v>
      </c>
      <c r="R19" s="32">
        <f t="shared" si="4"/>
        <v>-158.6502070835585</v>
      </c>
      <c r="S19" s="32">
        <f t="shared" si="17"/>
        <v>-535.8707400346435</v>
      </c>
      <c r="T19" s="36">
        <f t="shared" si="5"/>
        <v>0.4128921974547403</v>
      </c>
      <c r="U19" s="32">
        <f t="shared" si="6"/>
        <v>1294.636098869466</v>
      </c>
      <c r="V19" s="32">
        <f t="shared" si="0"/>
        <v>729.1567063421232</v>
      </c>
      <c r="W19" s="20">
        <f t="shared" si="7"/>
        <v>-3485.660672507084</v>
      </c>
      <c r="X19" s="20">
        <f t="shared" si="18"/>
        <v>1927.7144400156594</v>
      </c>
    </row>
    <row r="20" spans="1:24" ht="12.75" outlineLevel="1">
      <c r="A20" s="21">
        <v>17</v>
      </c>
      <c r="B20" s="27">
        <f t="shared" si="8"/>
        <v>2023</v>
      </c>
      <c r="C20" s="29">
        <f t="shared" si="19"/>
        <v>45291</v>
      </c>
      <c r="D20" s="30">
        <f t="shared" si="1"/>
        <v>365</v>
      </c>
      <c r="E20" s="32">
        <f t="shared" si="9"/>
        <v>3685.786301369863</v>
      </c>
      <c r="F20" s="30">
        <f t="shared" si="2"/>
        <v>1813.7754389041095</v>
      </c>
      <c r="G20" s="30">
        <f t="shared" si="10"/>
        <v>-37.504164178602466</v>
      </c>
      <c r="H20" s="32">
        <f t="shared" si="11"/>
        <v>-208.35646765890257</v>
      </c>
      <c r="I20" s="32">
        <f t="shared" si="12"/>
        <v>-138.90431177260172</v>
      </c>
      <c r="J20" s="34">
        <f t="shared" si="13"/>
        <v>-384.76494361010674</v>
      </c>
      <c r="K20" s="32">
        <f>-($E$30/$E$48*$E$43+SUM($L$4:L19))*$E$47*(C20-C19)/365</f>
        <v>0</v>
      </c>
      <c r="L20" s="32">
        <f>IF(AND((C20-$C$3)/365&gt;$E$50,(C20-$C$3)/365&lt;($E$49+$E$50)),-(C20-$C$3)/365/$E$49*$O$3/$E$48,0)</f>
        <v>0</v>
      </c>
      <c r="M20" s="32">
        <f>IF(O19/ROWS(M20:$M$23)&lt;O19*$E$39,-O19*$E$39,-O19/ROWS(M20:$M$23))</f>
        <v>-729.6242305167123</v>
      </c>
      <c r="N20" s="32">
        <f t="shared" si="14"/>
        <v>-1000</v>
      </c>
      <c r="O20" s="32">
        <f t="shared" si="3"/>
        <v>2188.8726915501366</v>
      </c>
      <c r="P20" s="32">
        <f t="shared" si="15"/>
        <v>-1534.9186169630077</v>
      </c>
      <c r="Q20" s="32">
        <f t="shared" si="16"/>
        <v>429.0104952940028</v>
      </c>
      <c r="R20" s="32">
        <f t="shared" si="4"/>
        <v>-150.15367335290097</v>
      </c>
      <c r="S20" s="32">
        <f t="shared" si="17"/>
        <v>-534.9186169630077</v>
      </c>
      <c r="T20" s="36">
        <f t="shared" si="5"/>
        <v>0.4164426506204493</v>
      </c>
      <c r="U20" s="32">
        <f t="shared" si="6"/>
        <v>1278.8568219411018</v>
      </c>
      <c r="V20" s="32">
        <f t="shared" si="0"/>
        <v>694.2357613377325</v>
      </c>
      <c r="W20" s="20">
        <f t="shared" si="7"/>
        <v>-2791.4249111693516</v>
      </c>
      <c r="X20" s="20">
        <f t="shared" si="18"/>
        <v>3206.571261956761</v>
      </c>
    </row>
    <row r="21" spans="1:24" ht="12.75" outlineLevel="1">
      <c r="A21" s="104">
        <v>18</v>
      </c>
      <c r="B21" s="27">
        <f t="shared" si="8"/>
        <v>2024</v>
      </c>
      <c r="C21" s="29">
        <f t="shared" si="19"/>
        <v>45657</v>
      </c>
      <c r="D21" s="30">
        <f t="shared" si="1"/>
        <v>366</v>
      </c>
      <c r="E21" s="32">
        <f t="shared" si="9"/>
        <v>3661.6977894539314</v>
      </c>
      <c r="F21" s="30">
        <f t="shared" si="2"/>
        <v>1801.9214821902794</v>
      </c>
      <c r="G21" s="30">
        <f t="shared" si="10"/>
        <v>-38.256322955749624</v>
      </c>
      <c r="H21" s="32">
        <f t="shared" si="11"/>
        <v>-212.53512753194235</v>
      </c>
      <c r="I21" s="32">
        <f t="shared" si="12"/>
        <v>-141.6900850212949</v>
      </c>
      <c r="J21" s="34">
        <f t="shared" si="13"/>
        <v>-392.4815355089869</v>
      </c>
      <c r="K21" s="32">
        <f>-($E$30/$E$48*$E$43+SUM($L$4:L20))*$E$47*(C21-C20)/365</f>
        <v>0</v>
      </c>
      <c r="L21" s="32">
        <f>IF(AND((C21-$C$3)/365&gt;2,(C21-$C$3)/365&lt;12),-(C21-$C$3)/365/$E$49*$O$3/$E$48,0)</f>
        <v>0</v>
      </c>
      <c r="M21" s="32">
        <f>IF(O20/ROWS(M21:$M$23)&lt;O20*$E$39,-O20*$E$39,-O20/ROWS(M21:$M$23))</f>
        <v>-729.6242305167121</v>
      </c>
      <c r="N21" s="32">
        <f t="shared" si="14"/>
        <v>-1000</v>
      </c>
      <c r="O21" s="32">
        <f t="shared" si="3"/>
        <v>1459.2484610334245</v>
      </c>
      <c r="P21" s="32">
        <f t="shared" si="15"/>
        <v>-1535.785516847439</v>
      </c>
      <c r="Q21" s="32">
        <f t="shared" si="16"/>
        <v>409.43994668129244</v>
      </c>
      <c r="R21" s="32">
        <f t="shared" si="4"/>
        <v>-143.30398133845233</v>
      </c>
      <c r="S21" s="32">
        <f t="shared" si="17"/>
        <v>-535.7855168474392</v>
      </c>
      <c r="T21" s="36">
        <f t="shared" si="5"/>
        <v>0.41941897042149695</v>
      </c>
      <c r="U21" s="32">
        <f t="shared" si="6"/>
        <v>1266.1359653428403</v>
      </c>
      <c r="V21" s="32">
        <f t="shared" si="0"/>
        <v>662.4200873805997</v>
      </c>
      <c r="W21" s="20">
        <f t="shared" si="7"/>
        <v>-2129.0048237887518</v>
      </c>
      <c r="X21" s="20">
        <f t="shared" si="18"/>
        <v>4472.707227299601</v>
      </c>
    </row>
    <row r="22" spans="1:24" ht="12.75" outlineLevel="1">
      <c r="A22" s="21">
        <v>19</v>
      </c>
      <c r="B22" s="27">
        <f t="shared" si="8"/>
        <v>2025</v>
      </c>
      <c r="C22" s="29">
        <f t="shared" si="19"/>
        <v>46022</v>
      </c>
      <c r="D22" s="30">
        <f t="shared" si="1"/>
        <v>365</v>
      </c>
      <c r="E22" s="32">
        <f t="shared" si="9"/>
        <v>3617.6931506849314</v>
      </c>
      <c r="F22" s="30">
        <f t="shared" si="2"/>
        <v>1780.2667994520548</v>
      </c>
      <c r="G22" s="30">
        <f t="shared" si="10"/>
        <v>-39.02144941486462</v>
      </c>
      <c r="H22" s="32">
        <f t="shared" si="11"/>
        <v>-216.7858300825812</v>
      </c>
      <c r="I22" s="32">
        <f t="shared" si="12"/>
        <v>-144.5238867217208</v>
      </c>
      <c r="J22" s="34">
        <f t="shared" si="13"/>
        <v>-400.3311662191667</v>
      </c>
      <c r="K22" s="32">
        <f>-($E$30/$E$48*$E$43+SUM($L$4:L21))*$E$47*(C22-C21)/365</f>
        <v>0</v>
      </c>
      <c r="L22" s="32">
        <f>IF(AND((C22-$C$3)/365&gt;2,(C22-$C$3)/365&lt;12),-(C22-$C$3)/365/$E$49*$O$3/$E$48,0)</f>
        <v>0</v>
      </c>
      <c r="M22" s="32">
        <f>IF(O21/ROWS(M22:$M$23)&lt;O21*$E$39,-O21*$E$39,-O21/ROWS(M22:$M$23))</f>
        <v>-729.6242305167123</v>
      </c>
      <c r="N22" s="32">
        <f t="shared" si="14"/>
        <v>-1000</v>
      </c>
      <c r="O22" s="32">
        <f t="shared" si="3"/>
        <v>729.6242305167123</v>
      </c>
      <c r="P22" s="32">
        <f t="shared" si="15"/>
        <v>-1533.3086378506775</v>
      </c>
      <c r="Q22" s="32">
        <f t="shared" si="16"/>
        <v>379.935633232888</v>
      </c>
      <c r="R22" s="32">
        <f t="shared" si="4"/>
        <v>-132.97747163151078</v>
      </c>
      <c r="S22" s="32">
        <f t="shared" si="17"/>
        <v>-533.3086378506774</v>
      </c>
      <c r="T22" s="36">
        <f t="shared" si="5"/>
        <v>0.42383601206210064</v>
      </c>
      <c r="U22" s="32">
        <f t="shared" si="6"/>
        <v>1246.9581616013775</v>
      </c>
      <c r="V22" s="32">
        <f t="shared" si="0"/>
        <v>628.8063590099139</v>
      </c>
      <c r="W22" s="20">
        <f t="shared" si="7"/>
        <v>-1500.198464778838</v>
      </c>
      <c r="X22" s="20">
        <f t="shared" si="18"/>
        <v>5719.6653889009785</v>
      </c>
    </row>
    <row r="23" spans="1:24" ht="12.75" outlineLevel="1">
      <c r="A23" s="104">
        <v>20</v>
      </c>
      <c r="B23" s="27">
        <f t="shared" si="8"/>
        <v>2026</v>
      </c>
      <c r="C23" s="29">
        <f t="shared" si="19"/>
        <v>46387</v>
      </c>
      <c r="D23" s="30">
        <f t="shared" si="1"/>
        <v>365</v>
      </c>
      <c r="E23" s="32">
        <f t="shared" si="9"/>
        <v>3583.6931506849314</v>
      </c>
      <c r="F23" s="30">
        <f t="shared" si="2"/>
        <v>1763.5353994520547</v>
      </c>
      <c r="G23" s="30">
        <f t="shared" si="10"/>
        <v>-39.801878403161915</v>
      </c>
      <c r="H23" s="32">
        <f t="shared" si="11"/>
        <v>-221.12154668423284</v>
      </c>
      <c r="I23" s="32">
        <f t="shared" si="12"/>
        <v>-147.41436445615523</v>
      </c>
      <c r="J23" s="34">
        <f t="shared" si="13"/>
        <v>-408.33778954355</v>
      </c>
      <c r="K23" s="32">
        <f>-($E$30/$E$48*$E$43+SUM($L$4:L22))*$E$47*(C23-C22)/365</f>
        <v>0</v>
      </c>
      <c r="L23" s="32">
        <f>IF(AND((C23-$C$3)/365&gt;2,(C23-$C$3)/365&lt;12),-(C23-$C$3)/365/$E$49*$O$3/$E$48,0)</f>
        <v>0</v>
      </c>
      <c r="M23" s="32">
        <f>IF(O22/ROWS(M23:$M$23)&lt;O22*$E$39,-O22*$E$39,-O22/ROWS(M23:$M$23))</f>
        <v>-729.6242305167123</v>
      </c>
      <c r="N23" s="32">
        <f t="shared" si="14"/>
        <v>-1000</v>
      </c>
      <c r="O23" s="32">
        <f t="shared" si="3"/>
        <v>0</v>
      </c>
      <c r="P23" s="32">
        <f t="shared" si="15"/>
        <v>-1532.6569530115266</v>
      </c>
      <c r="Q23" s="32">
        <f t="shared" si="16"/>
        <v>355.19760990850455</v>
      </c>
      <c r="R23" s="32">
        <f t="shared" si="4"/>
        <v>-124.31916346797658</v>
      </c>
      <c r="S23" s="32">
        <f t="shared" si="17"/>
        <v>-532.6569530115266</v>
      </c>
      <c r="T23" s="36">
        <f t="shared" si="5"/>
        <v>0.4276752747981781</v>
      </c>
      <c r="U23" s="32">
        <f t="shared" si="6"/>
        <v>1230.878446440528</v>
      </c>
      <c r="V23" s="32">
        <f t="shared" si="0"/>
        <v>598.2629449317418</v>
      </c>
      <c r="W23" s="20">
        <f t="shared" si="7"/>
        <v>-901.9355198470961</v>
      </c>
      <c r="X23" s="20">
        <f t="shared" si="18"/>
        <v>6950.543835341507</v>
      </c>
    </row>
    <row r="24" spans="1:24" ht="12.75" outlineLevel="1">
      <c r="A24" s="24">
        <v>21</v>
      </c>
      <c r="B24" s="28">
        <f t="shared" si="8"/>
        <v>2027</v>
      </c>
      <c r="C24" s="29">
        <f t="shared" si="19"/>
        <v>46752</v>
      </c>
      <c r="D24" s="31">
        <f t="shared" si="1"/>
        <v>365</v>
      </c>
      <c r="E24" s="33">
        <f t="shared" si="9"/>
        <v>3549.6931506849314</v>
      </c>
      <c r="F24" s="31">
        <f t="shared" si="2"/>
        <v>1746.8039994520548</v>
      </c>
      <c r="G24" s="31">
        <f t="shared" si="10"/>
        <v>-40.59791597122515</v>
      </c>
      <c r="H24" s="33">
        <f t="shared" si="11"/>
        <v>-225.5439776179175</v>
      </c>
      <c r="I24" s="33">
        <f t="shared" si="12"/>
        <v>-150.36265174527836</v>
      </c>
      <c r="J24" s="35">
        <f t="shared" si="13"/>
        <v>-416.50454533442104</v>
      </c>
      <c r="K24" s="33">
        <f>-($E$30/$E$48*$E$43+SUM($L$4:L23))*$E$47*(C24-C23)/365</f>
        <v>0</v>
      </c>
      <c r="L24" s="33">
        <f>IF(AND((C24-$C$3)/365&gt;2,(C24-$C$3)/365&lt;12),(C24-C23)/365/$E$49*$O$3/$E$48,0)</f>
        <v>0</v>
      </c>
      <c r="M24" s="33">
        <f>-($O$3+SUM(M3:M23))</f>
        <v>-0.10000000000582077</v>
      </c>
      <c r="N24" s="33">
        <f>-($O$3+SUM(N3:N23))</f>
        <v>-416.43835616438446</v>
      </c>
      <c r="O24" s="33">
        <f t="shared" si="3"/>
        <v>-0.10000000000582077</v>
      </c>
      <c r="P24" s="33">
        <f t="shared" si="15"/>
        <v>-1152.7942857824428</v>
      </c>
      <c r="Q24" s="33">
        <f t="shared" si="16"/>
        <v>913.8610979532493</v>
      </c>
      <c r="R24" s="33">
        <f t="shared" si="4"/>
        <v>-319.85138428363723</v>
      </c>
      <c r="S24" s="33">
        <f t="shared" si="17"/>
        <v>-736.3559296180583</v>
      </c>
      <c r="T24" s="50">
        <f t="shared" si="5"/>
        <v>0.32475885572250246</v>
      </c>
      <c r="U24" s="33">
        <f t="shared" si="6"/>
        <v>1010.4480698339964</v>
      </c>
      <c r="V24" s="33">
        <f t="shared" si="0"/>
        <v>473.3722888038054</v>
      </c>
      <c r="W24" s="26">
        <f>V24+W23</f>
        <v>-428.56323104329067</v>
      </c>
      <c r="X24" s="26">
        <f t="shared" si="18"/>
        <v>7960.991905175503</v>
      </c>
    </row>
    <row r="25" spans="1:24" ht="12.75" outlineLevel="1">
      <c r="A25" s="37" t="s">
        <v>42</v>
      </c>
      <c r="B25" s="45"/>
      <c r="C25" s="68"/>
      <c r="D25" s="69"/>
      <c r="E25" s="39">
        <f>AVERAGE(E3:E24)</f>
        <v>3808.475467894147</v>
      </c>
      <c r="F25" s="39">
        <f aca="true" t="shared" si="21" ref="F25:R25">AVERAGE(F3:F24)</f>
        <v>1874.1507777507093</v>
      </c>
      <c r="G25" s="39">
        <f t="shared" si="21"/>
        <v>-32.999163645094704</v>
      </c>
      <c r="H25" s="39">
        <f t="shared" si="21"/>
        <v>-183.3286869171928</v>
      </c>
      <c r="I25" s="39">
        <f t="shared" si="21"/>
        <v>-122.21912461146188</v>
      </c>
      <c r="J25" s="39">
        <f t="shared" si="21"/>
        <v>-338.54697517374933</v>
      </c>
      <c r="K25" s="39">
        <f t="shared" si="21"/>
        <v>0</v>
      </c>
      <c r="L25" s="39">
        <f t="shared" si="21"/>
        <v>0</v>
      </c>
      <c r="M25" s="39">
        <f t="shared" si="21"/>
        <v>-909.0909090909091</v>
      </c>
      <c r="N25" s="39">
        <f t="shared" si="21"/>
        <v>-952.3809523809524</v>
      </c>
      <c r="O25" s="39">
        <f t="shared" si="21"/>
        <v>7977.071670456165</v>
      </c>
      <c r="P25" s="39">
        <f t="shared" si="21"/>
        <v>-1495.0559251233044</v>
      </c>
      <c r="Q25" s="39">
        <f t="shared" si="21"/>
        <v>583.2228501960074</v>
      </c>
      <c r="R25" s="39">
        <f t="shared" si="21"/>
        <v>-204.1279975686026</v>
      </c>
      <c r="S25" s="39">
        <f>AVERAGE(S3:S24)</f>
        <v>-1427.0988376176995</v>
      </c>
      <c r="T25" s="70"/>
      <c r="U25" s="39">
        <f>AVERAGE(U3:U24)</f>
        <v>361.86326841706835</v>
      </c>
      <c r="V25" s="39"/>
      <c r="W25" s="39"/>
      <c r="X25" s="55"/>
    </row>
    <row r="26" spans="1:24" ht="12.75" outlineLevel="1">
      <c r="A26" s="24" t="s">
        <v>1</v>
      </c>
      <c r="B26" s="43"/>
      <c r="C26" s="71"/>
      <c r="D26" s="72"/>
      <c r="E26" s="25">
        <f aca="true" t="shared" si="22" ref="E26:R26">SUM(E4:E24)</f>
        <v>79977.9848257771</v>
      </c>
      <c r="F26" s="25">
        <f t="shared" si="22"/>
        <v>39357.16633276489</v>
      </c>
      <c r="G26" s="25">
        <f t="shared" si="22"/>
        <v>-692.9824365469888</v>
      </c>
      <c r="H26" s="25">
        <f t="shared" si="22"/>
        <v>-3849.902425261049</v>
      </c>
      <c r="I26" s="25">
        <f t="shared" si="22"/>
        <v>-2566.6016168406995</v>
      </c>
      <c r="J26" s="25">
        <f t="shared" si="22"/>
        <v>-7109.486478648736</v>
      </c>
      <c r="K26" s="25">
        <f t="shared" si="22"/>
        <v>0</v>
      </c>
      <c r="L26" s="25">
        <f t="shared" si="22"/>
        <v>0</v>
      </c>
      <c r="M26" s="25">
        <f t="shared" si="22"/>
        <v>-20000.1</v>
      </c>
      <c r="N26" s="25">
        <f t="shared" si="22"/>
        <v>-20000</v>
      </c>
      <c r="O26" s="25">
        <f t="shared" si="22"/>
        <v>155495.57675003563</v>
      </c>
      <c r="P26" s="25">
        <f t="shared" si="22"/>
        <v>-31396.17442758939</v>
      </c>
      <c r="Q26" s="25">
        <f t="shared" si="22"/>
        <v>12247.679854116155</v>
      </c>
      <c r="R26" s="25">
        <f t="shared" si="22"/>
        <v>-4286.687948940655</v>
      </c>
      <c r="S26" s="25">
        <f>SUM(S3:S24)</f>
        <v>-31396.17442758939</v>
      </c>
      <c r="T26" s="73"/>
      <c r="U26" s="25">
        <f>SUM(U3:U24)</f>
        <v>7960.991905175503</v>
      </c>
      <c r="V26" s="25"/>
      <c r="W26" s="25"/>
      <c r="X26" s="26"/>
    </row>
    <row r="27" spans="3:24" ht="12.75">
      <c r="C27" s="9"/>
      <c r="D27" s="7"/>
      <c r="E27" s="5"/>
      <c r="F27" s="7"/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12"/>
      <c r="B28" s="12"/>
      <c r="C28" s="12"/>
      <c r="D28" s="12"/>
      <c r="E28" s="5"/>
      <c r="F28" s="7"/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1" ht="12.75">
      <c r="A29" s="12"/>
      <c r="B29" s="12"/>
      <c r="C29" s="89" t="s">
        <v>88</v>
      </c>
      <c r="D29" s="90"/>
      <c r="E29" s="91">
        <f>Anlagendaten!J15</f>
        <v>39234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3:21" ht="12.75">
      <c r="C30" s="92" t="s">
        <v>92</v>
      </c>
      <c r="D30" s="93"/>
      <c r="E30" s="94">
        <v>20000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3:21" ht="12.75">
      <c r="C31" s="92" t="s">
        <v>14</v>
      </c>
      <c r="D31" s="93"/>
      <c r="E31" s="95">
        <v>5</v>
      </c>
      <c r="F31" s="2"/>
      <c r="G31" s="2"/>
      <c r="H31" s="2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3:21" ht="12.75">
      <c r="C32" s="92" t="s">
        <v>89</v>
      </c>
      <c r="D32" s="93"/>
      <c r="E32" s="95">
        <f>E30/E31</f>
        <v>4000</v>
      </c>
      <c r="F32" s="2"/>
      <c r="G32" s="2"/>
      <c r="H32" s="2"/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3:21" ht="12.75">
      <c r="C33" s="92" t="s">
        <v>12</v>
      </c>
      <c r="D33" s="93"/>
      <c r="E33" s="94">
        <v>850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3:21" ht="12.75">
      <c r="C34" s="92" t="s">
        <v>15</v>
      </c>
      <c r="D34" s="93"/>
      <c r="E34" s="96">
        <v>0.4921</v>
      </c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3:21" ht="12.75">
      <c r="C35" s="92" t="s">
        <v>7</v>
      </c>
      <c r="D35" s="93"/>
      <c r="E35" s="95">
        <v>27</v>
      </c>
      <c r="F35" s="2"/>
      <c r="G35" s="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3:21" ht="12.75">
      <c r="C36" s="92" t="s">
        <v>8</v>
      </c>
      <c r="D36" s="93"/>
      <c r="E36" s="105">
        <v>0.0075</v>
      </c>
      <c r="F36" s="18"/>
      <c r="G36" s="18"/>
      <c r="H36" s="18"/>
      <c r="I36" s="18"/>
      <c r="U36" s="5"/>
    </row>
    <row r="37" spans="3:9" ht="12.75">
      <c r="C37" s="92" t="s">
        <v>9</v>
      </c>
      <c r="D37" s="93"/>
      <c r="E37" s="97">
        <v>0.005</v>
      </c>
      <c r="F37" s="18"/>
      <c r="G37" s="18"/>
      <c r="H37" s="18"/>
      <c r="I37" s="18"/>
    </row>
    <row r="38" spans="3:9" ht="12.75">
      <c r="C38" s="92" t="s">
        <v>51</v>
      </c>
      <c r="D38" s="93"/>
      <c r="E38" s="98">
        <v>0.05</v>
      </c>
      <c r="F38" s="10"/>
      <c r="G38" s="10"/>
      <c r="H38" s="10"/>
      <c r="I38" s="10"/>
    </row>
    <row r="39" spans="3:9" ht="12.75">
      <c r="C39" s="92" t="s">
        <v>50</v>
      </c>
      <c r="D39" s="93"/>
      <c r="E39" s="98">
        <v>0.1</v>
      </c>
      <c r="F39" s="10"/>
      <c r="G39" s="10"/>
      <c r="H39" s="10"/>
      <c r="I39" s="10"/>
    </row>
    <row r="40" spans="3:11" ht="12.75">
      <c r="C40" s="92" t="s">
        <v>71</v>
      </c>
      <c r="D40" s="93"/>
      <c r="E40" s="97">
        <v>0.008</v>
      </c>
      <c r="F40" s="18"/>
      <c r="G40" s="18"/>
      <c r="H40" s="18"/>
      <c r="I40" s="18"/>
      <c r="J40" s="18"/>
      <c r="K40" s="18"/>
    </row>
    <row r="41" spans="3:9" ht="12.75">
      <c r="C41" s="92" t="s">
        <v>48</v>
      </c>
      <c r="D41" s="93"/>
      <c r="E41" s="94" t="s">
        <v>49</v>
      </c>
      <c r="F41" s="5"/>
      <c r="G41" s="5"/>
      <c r="H41" s="5"/>
      <c r="I41" s="5"/>
    </row>
    <row r="42" spans="3:9" ht="12.75">
      <c r="C42" s="92" t="s">
        <v>2</v>
      </c>
      <c r="D42" s="93"/>
      <c r="E42" s="99">
        <v>0.02</v>
      </c>
      <c r="F42" s="5"/>
      <c r="G42" s="5"/>
      <c r="H42" s="5"/>
      <c r="I42" s="5"/>
    </row>
    <row r="43" spans="3:9" ht="12.75">
      <c r="C43" s="118" t="s">
        <v>41</v>
      </c>
      <c r="D43" s="119"/>
      <c r="E43" s="120">
        <v>0</v>
      </c>
      <c r="F43" s="19"/>
      <c r="G43" s="8"/>
      <c r="H43" s="8"/>
      <c r="I43" s="8"/>
    </row>
    <row r="44" spans="3:9" ht="12.75">
      <c r="C44" s="92" t="s">
        <v>72</v>
      </c>
      <c r="D44" s="93"/>
      <c r="E44" s="100">
        <v>0.35</v>
      </c>
      <c r="F44" s="19"/>
      <c r="G44" s="8"/>
      <c r="H44" s="8"/>
      <c r="I44" s="8"/>
    </row>
    <row r="45" spans="3:9" ht="12.75">
      <c r="C45" s="92" t="s">
        <v>73</v>
      </c>
      <c r="D45" s="93"/>
      <c r="E45" s="100">
        <v>0.25</v>
      </c>
      <c r="F45" s="19"/>
      <c r="G45" s="8"/>
      <c r="H45" s="8"/>
      <c r="I45" s="8"/>
    </row>
    <row r="46" spans="3:9" ht="12.75">
      <c r="C46" s="92" t="s">
        <v>11</v>
      </c>
      <c r="D46" s="93"/>
      <c r="E46" s="99">
        <v>0.05</v>
      </c>
      <c r="F46" s="8"/>
      <c r="G46" s="8"/>
      <c r="H46" s="8"/>
      <c r="I46" s="8"/>
    </row>
    <row r="47" spans="3:9" ht="12.75">
      <c r="C47" s="114" t="s">
        <v>59</v>
      </c>
      <c r="D47" s="115"/>
      <c r="E47" s="116">
        <v>0.043</v>
      </c>
      <c r="F47" s="18"/>
      <c r="G47" s="18"/>
      <c r="H47" s="18"/>
      <c r="I47" s="18"/>
    </row>
    <row r="48" spans="3:9" ht="12.75">
      <c r="C48" s="108" t="s">
        <v>17</v>
      </c>
      <c r="D48" s="109"/>
      <c r="E48" s="110">
        <v>0.96</v>
      </c>
      <c r="F48" s="19"/>
      <c r="G48" s="19"/>
      <c r="H48" s="19"/>
      <c r="I48" s="19"/>
    </row>
    <row r="49" spans="3:6" ht="12.75">
      <c r="C49" s="108" t="s">
        <v>16</v>
      </c>
      <c r="D49" s="109"/>
      <c r="E49" s="111">
        <v>10</v>
      </c>
      <c r="F49" s="107"/>
    </row>
    <row r="50" spans="3:6" ht="12.75">
      <c r="C50" s="112" t="s">
        <v>60</v>
      </c>
      <c r="D50" s="113"/>
      <c r="E50" s="117">
        <v>2</v>
      </c>
      <c r="F50" s="42"/>
    </row>
    <row r="51" spans="3:9" ht="12.75">
      <c r="C51" s="21" t="s">
        <v>91</v>
      </c>
      <c r="D51" s="42"/>
      <c r="E51" s="54"/>
      <c r="F51" s="19"/>
      <c r="G51" s="19"/>
      <c r="H51" s="19"/>
      <c r="I51" s="19"/>
    </row>
    <row r="52" spans="3:6" ht="12.75" customHeight="1">
      <c r="C52" s="56" t="s">
        <v>46</v>
      </c>
      <c r="D52" s="57"/>
      <c r="E52" s="58">
        <f>-S26/E26</f>
        <v>0.3925602088622559</v>
      </c>
      <c r="F52" s="17"/>
    </row>
    <row r="53" spans="3:6" ht="12.75">
      <c r="C53" s="59" t="s">
        <v>90</v>
      </c>
      <c r="D53" s="60"/>
      <c r="E53" s="61">
        <f>SUM(V3:V24)</f>
        <v>-428.56323104329067</v>
      </c>
      <c r="F53" s="5"/>
    </row>
    <row r="54" spans="3:6" ht="12.75">
      <c r="C54" s="59" t="s">
        <v>93</v>
      </c>
      <c r="D54" s="60"/>
      <c r="E54" s="62" t="e">
        <f>interner_Zinsfuss(C3,U3,C3:C24)</f>
        <v>#VALUE!</v>
      </c>
      <c r="F54" s="4"/>
    </row>
    <row r="55" spans="3:6" ht="12.75">
      <c r="C55" s="59" t="s">
        <v>94</v>
      </c>
      <c r="D55" s="60"/>
      <c r="E55" s="62" t="e">
        <f>interner_Zinsfuss(C3,U3,C3:C24)/(1-E45)</f>
        <v>#VALUE!</v>
      </c>
      <c r="F55" s="4"/>
    </row>
    <row r="56" spans="3:5" ht="12.75">
      <c r="C56" s="59" t="s">
        <v>55</v>
      </c>
      <c r="D56" s="60"/>
      <c r="E56" s="63">
        <f>$E$53*$E$46*(1-$E$45)*(1+$E$46*(1-$E$45))^(SUM($D$4:$D$24)/365)/((1+$E$46*(1-$E$45))^(SUM($D$4:$D$24)/365)-1)</f>
        <v>-30.236018703371627</v>
      </c>
    </row>
    <row r="57" spans="3:5" ht="12.75">
      <c r="C57" s="64" t="s">
        <v>75</v>
      </c>
      <c r="D57" s="65"/>
      <c r="E57" s="66" t="e">
        <f>(E54-E42)/(1+E42)</f>
        <v>#VALUE!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B2:I20"/>
  <sheetViews>
    <sheetView showGridLines="0" workbookViewId="0" topLeftCell="A1">
      <pane xSplit="2" ySplit="2" topLeftCell="C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11.421875" defaultRowHeight="12.75"/>
  <cols>
    <col min="2" max="2" width="26.00390625" style="0" bestFit="1" customWidth="1"/>
  </cols>
  <sheetData>
    <row r="1" ht="13.5" thickBot="1"/>
    <row r="2" spans="2:9" ht="12.75">
      <c r="B2" s="123" t="s">
        <v>35</v>
      </c>
      <c r="C2" s="124">
        <v>0.7</v>
      </c>
      <c r="D2" s="125">
        <v>0.8</v>
      </c>
      <c r="E2" s="124">
        <v>0.9</v>
      </c>
      <c r="F2" s="124">
        <v>1</v>
      </c>
      <c r="G2" s="125">
        <v>1.1</v>
      </c>
      <c r="H2" s="124">
        <v>1.2</v>
      </c>
      <c r="I2" s="126">
        <v>1.3</v>
      </c>
    </row>
    <row r="3" spans="2:9" ht="15.75">
      <c r="B3" s="127" t="s">
        <v>77</v>
      </c>
      <c r="C3" s="87">
        <f>C$2*$F3</f>
        <v>595</v>
      </c>
      <c r="D3" s="88">
        <f>D$2*$F3</f>
        <v>680</v>
      </c>
      <c r="E3" s="87">
        <f>E$2*$F3</f>
        <v>765</v>
      </c>
      <c r="F3" s="87">
        <v>850</v>
      </c>
      <c r="G3" s="88">
        <f>G$2*$F3</f>
        <v>935.0000000000001</v>
      </c>
      <c r="H3" s="87">
        <f>H$2*$F3</f>
        <v>1020</v>
      </c>
      <c r="I3" s="128">
        <f>I$2*$F3</f>
        <v>1105</v>
      </c>
    </row>
    <row r="4" spans="2:9" ht="12.75">
      <c r="B4" s="129" t="s">
        <v>53</v>
      </c>
      <c r="C4" s="38">
        <v>-5776.652101635858</v>
      </c>
      <c r="D4" s="39">
        <v>-3951.192416543521</v>
      </c>
      <c r="E4" s="38">
        <v>-2125.7327314511867</v>
      </c>
      <c r="F4" s="38">
        <v>-300.2730463588433</v>
      </c>
      <c r="G4" s="39">
        <v>1525.1866387334883</v>
      </c>
      <c r="H4" s="38">
        <v>3350.6463238258293</v>
      </c>
      <c r="I4" s="130">
        <v>5176.1060089181665</v>
      </c>
    </row>
    <row r="5" spans="2:9" ht="12.75">
      <c r="B5" s="131" t="s">
        <v>45</v>
      </c>
      <c r="C5" s="75">
        <v>-0.005550626441993614</v>
      </c>
      <c r="D5" s="79">
        <v>0.009835164238652206</v>
      </c>
      <c r="E5" s="74">
        <v>0.024230474493910442</v>
      </c>
      <c r="F5" s="75">
        <v>0.03782901425823312</v>
      </c>
      <c r="G5" s="79">
        <v>0.050773886364347716</v>
      </c>
      <c r="H5" s="75">
        <v>0.06317393729389777</v>
      </c>
      <c r="I5" s="132">
        <v>0.07511395941806638</v>
      </c>
    </row>
    <row r="6" spans="2:9" ht="12.75">
      <c r="B6" s="131" t="s">
        <v>76</v>
      </c>
      <c r="C6" s="11">
        <v>-382.2902808754515</v>
      </c>
      <c r="D6" s="22">
        <v>-261.48406241837307</v>
      </c>
      <c r="E6" s="11">
        <v>-140.67784396129483</v>
      </c>
      <c r="F6" s="11">
        <v>-19.87162550421593</v>
      </c>
      <c r="G6" s="22">
        <v>100.93459295286216</v>
      </c>
      <c r="H6" s="11">
        <v>221.74081140994085</v>
      </c>
      <c r="I6" s="133">
        <v>342.5470298670193</v>
      </c>
    </row>
    <row r="7" spans="2:9" ht="13.5" thickBot="1">
      <c r="B7" s="134" t="s">
        <v>46</v>
      </c>
      <c r="C7" s="135">
        <v>0.5082049544321434</v>
      </c>
      <c r="D7" s="136">
        <v>0.46620871012812554</v>
      </c>
      <c r="E7" s="137">
        <v>0.43354496455833386</v>
      </c>
      <c r="F7" s="135">
        <v>0.4074139681025005</v>
      </c>
      <c r="G7" s="136">
        <v>0.3860340619113642</v>
      </c>
      <c r="H7" s="135">
        <v>0.3682174734187503</v>
      </c>
      <c r="I7" s="138">
        <v>0.353141898540385</v>
      </c>
    </row>
    <row r="8" spans="2:9" ht="12.75">
      <c r="B8" s="77"/>
      <c r="C8" s="36"/>
      <c r="D8" s="23"/>
      <c r="E8" s="78"/>
      <c r="F8" s="36"/>
      <c r="G8" s="23"/>
      <c r="H8" s="36"/>
      <c r="I8" s="36"/>
    </row>
    <row r="9" spans="2:9" ht="12.75">
      <c r="B9" s="82" t="s">
        <v>6</v>
      </c>
      <c r="C9" s="85">
        <v>2964.876033057851</v>
      </c>
      <c r="D9" s="86">
        <v>3388.4297520661157</v>
      </c>
      <c r="E9" s="85">
        <v>3811.9834710743803</v>
      </c>
      <c r="F9" s="85">
        <v>4235.537190082645</v>
      </c>
      <c r="G9" s="86">
        <v>4659.09090909091</v>
      </c>
      <c r="H9" s="85">
        <v>5082.644628099174</v>
      </c>
      <c r="I9" s="85">
        <v>5506.198347107438</v>
      </c>
    </row>
    <row r="10" spans="2:9" ht="12.75">
      <c r="B10" s="44" t="s">
        <v>53</v>
      </c>
      <c r="C10" s="38">
        <v>5169.199985536193</v>
      </c>
      <c r="D10" s="39">
        <v>3346.0423082378447</v>
      </c>
      <c r="E10" s="38">
        <v>1522.8846309395008</v>
      </c>
      <c r="F10" s="38">
        <v>-300.2730463588433</v>
      </c>
      <c r="G10" s="39">
        <v>-2123.4307236571885</v>
      </c>
      <c r="H10" s="38">
        <v>-3946.588400955532</v>
      </c>
      <c r="I10" s="38">
        <v>-5769.746078253884</v>
      </c>
    </row>
    <row r="11" spans="2:9" ht="12.75">
      <c r="B11" s="27" t="s">
        <v>45</v>
      </c>
      <c r="C11" s="75">
        <v>0.0890664695457654</v>
      </c>
      <c r="D11" s="79">
        <v>0.06867792770281296</v>
      </c>
      <c r="E11" s="75">
        <v>0.051930848697641634</v>
      </c>
      <c r="F11" s="75">
        <v>0.03782901425823312</v>
      </c>
      <c r="G11" s="79">
        <v>0.025723050556307022</v>
      </c>
      <c r="H11" s="75">
        <v>0.015168944750552598</v>
      </c>
      <c r="I11" s="75">
        <v>0.005851225251968667</v>
      </c>
    </row>
    <row r="12" spans="2:9" ht="12.75">
      <c r="B12" s="27" t="s">
        <v>76</v>
      </c>
      <c r="C12" s="11">
        <v>342.08999946740784</v>
      </c>
      <c r="D12" s="22">
        <v>221.43612447686644</v>
      </c>
      <c r="E12" s="11">
        <v>100.78224948632524</v>
      </c>
      <c r="F12" s="11">
        <v>-19.87162550421593</v>
      </c>
      <c r="G12" s="22">
        <v>-140.52550049475718</v>
      </c>
      <c r="H12" s="11">
        <v>-261.17937548529835</v>
      </c>
      <c r="I12" s="11">
        <v>-381.83325047584003</v>
      </c>
    </row>
    <row r="13" spans="2:9" ht="12.75">
      <c r="B13" s="81" t="s">
        <v>46</v>
      </c>
      <c r="C13" s="50">
        <v>0.33860804530624267</v>
      </c>
      <c r="D13" s="73">
        <v>0.36154335290499523</v>
      </c>
      <c r="E13" s="50">
        <v>0.3844786605037478</v>
      </c>
      <c r="F13" s="50">
        <v>0.4074139681025005</v>
      </c>
      <c r="G13" s="73">
        <v>0.4303492757012531</v>
      </c>
      <c r="H13" s="50">
        <v>0.45328458330000576</v>
      </c>
      <c r="I13" s="50">
        <v>0.4762198908987585</v>
      </c>
    </row>
    <row r="14" spans="2:9" ht="12.75">
      <c r="B14" s="27"/>
      <c r="C14" s="74"/>
      <c r="D14" s="40"/>
      <c r="E14" s="74"/>
      <c r="F14" s="75"/>
      <c r="G14" s="40"/>
      <c r="H14" s="74"/>
      <c r="I14" s="74"/>
    </row>
    <row r="15" spans="2:9" ht="12.75">
      <c r="B15" s="82" t="s">
        <v>54</v>
      </c>
      <c r="C15" s="83">
        <f>C$2*$F15</f>
        <v>0.008749999999999999</v>
      </c>
      <c r="D15" s="84">
        <f>D$2*$F15</f>
        <v>0.010000000000000002</v>
      </c>
      <c r="E15" s="83">
        <f>E$2*$F15</f>
        <v>0.011250000000000001</v>
      </c>
      <c r="F15" s="83">
        <v>0.0125</v>
      </c>
      <c r="G15" s="84">
        <f>G$2*$F15</f>
        <v>0.013750000000000002</v>
      </c>
      <c r="H15" s="83">
        <f>H$2*$F15</f>
        <v>0.015</v>
      </c>
      <c r="I15" s="83">
        <f>I$2*$F15</f>
        <v>0.01625</v>
      </c>
    </row>
    <row r="16" spans="2:9" ht="12.75">
      <c r="B16" s="44" t="s">
        <v>53</v>
      </c>
      <c r="C16" s="38">
        <v>607.9411565323048</v>
      </c>
      <c r="D16" s="39">
        <v>313.38519883787876</v>
      </c>
      <c r="E16" s="38">
        <v>-5.717088664414973</v>
      </c>
      <c r="F16" s="38">
        <v>-300.2730463588433</v>
      </c>
      <c r="G16" s="39">
        <v>-619.3753338611416</v>
      </c>
      <c r="H16" s="38">
        <v>-913.9312915555678</v>
      </c>
      <c r="I16" s="38">
        <v>-1233.0335790578692</v>
      </c>
    </row>
    <row r="17" spans="2:9" ht="12.75">
      <c r="B17" s="27" t="s">
        <v>45</v>
      </c>
      <c r="C17" s="75">
        <v>0.04432480058774437</v>
      </c>
      <c r="D17" s="79">
        <v>0.042240905411079534</v>
      </c>
      <c r="E17" s="75">
        <v>0.03995888582136406</v>
      </c>
      <c r="F17" s="75">
        <v>0.03782901425823312</v>
      </c>
      <c r="G17" s="79">
        <v>0.03549536407219995</v>
      </c>
      <c r="H17" s="75">
        <v>0.033316058289853165</v>
      </c>
      <c r="I17" s="75">
        <v>0.03092682026121206</v>
      </c>
    </row>
    <row r="18" spans="2:9" ht="12.75">
      <c r="B18" s="27" t="s">
        <v>76</v>
      </c>
      <c r="C18" s="11">
        <v>40.23264537960781</v>
      </c>
      <c r="D18" s="22">
        <v>20.73936833620554</v>
      </c>
      <c r="E18" s="11">
        <v>-0.3783484608135109</v>
      </c>
      <c r="F18" s="11">
        <v>-19.87162550421593</v>
      </c>
      <c r="G18" s="22">
        <v>-40.98934230123529</v>
      </c>
      <c r="H18" s="11">
        <v>-60.48261934463756</v>
      </c>
      <c r="I18" s="11">
        <v>-81.60033614165711</v>
      </c>
    </row>
    <row r="19" spans="2:9" ht="12.75">
      <c r="B19" s="77" t="s">
        <v>46</v>
      </c>
      <c r="C19" s="36">
        <v>0.39104752673506366</v>
      </c>
      <c r="D19" s="23">
        <v>0.3963555617731512</v>
      </c>
      <c r="E19" s="36">
        <v>0.40210593306441283</v>
      </c>
      <c r="F19" s="36">
        <v>0.4074139681025005</v>
      </c>
      <c r="G19" s="23">
        <v>0.4131643393937621</v>
      </c>
      <c r="H19" s="36">
        <v>0.4184723744318498</v>
      </c>
      <c r="I19" s="36">
        <v>0.424222745723111</v>
      </c>
    </row>
    <row r="20" spans="2:9" ht="12.75">
      <c r="B20" s="28" t="s">
        <v>75</v>
      </c>
      <c r="C20" s="76">
        <v>0.023847843713474873</v>
      </c>
      <c r="D20" s="80">
        <v>0.021804809226548563</v>
      </c>
      <c r="E20" s="76">
        <v>0.01956753511898437</v>
      </c>
      <c r="F20" s="76">
        <v>0.017479425743365806</v>
      </c>
      <c r="G20" s="80">
        <v>0.015191533404117595</v>
      </c>
      <c r="H20" s="76">
        <v>0.01305495910769918</v>
      </c>
      <c r="I20" s="76">
        <v>0.010712568883541234</v>
      </c>
    </row>
  </sheetData>
  <sheetProtection password="AD31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merob</dc:creator>
  <cp:keywords/>
  <dc:description/>
  <cp:lastModifiedBy>merob</cp:lastModifiedBy>
  <dcterms:created xsi:type="dcterms:W3CDTF">2007-05-20T15:12:17Z</dcterms:created>
  <dcterms:modified xsi:type="dcterms:W3CDTF">2007-11-26T19:33:42Z</dcterms:modified>
  <cp:category/>
  <cp:version/>
  <cp:contentType/>
  <cp:contentStatus/>
</cp:coreProperties>
</file>